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#REF!</definedName>
    <definedName name="\M">#REF!</definedName>
    <definedName name="angie">#REF!</definedName>
    <definedName name="date">#REF!</definedName>
    <definedName name="netmargin1">'[11]Debt Service Ratio revised'!$B$9:$D$143</definedName>
    <definedName name="PAGE1">#REF!</definedName>
    <definedName name="PAGE2">#REF!</definedName>
    <definedName name="PAGE3">#REF!</definedName>
    <definedName name="_xlnm.Print_Titles" localSheetId="0">'REG9'!$A:$A,'REG9'!$2:$6</definedName>
    <definedName name="Print_Titles_MI">#REF!</definedName>
    <definedName name="sched">'[12]Acid Test'!$A$104:$G$142</definedName>
    <definedName name="sl">[11]main!$A$2:$L$165</definedName>
    <definedName name="systemlossmar14">[13]main!$A$2:$K$165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5" i="1" l="1"/>
  <c r="L85" i="1"/>
  <c r="G85" i="1"/>
  <c r="B85" i="1"/>
  <c r="A83" i="1"/>
  <c r="C82" i="1"/>
  <c r="B82" i="1"/>
  <c r="A82" i="1"/>
  <c r="B81" i="1"/>
  <c r="C81" i="1" s="1"/>
  <c r="L68" i="1" s="1"/>
  <c r="O68" i="1" s="1"/>
  <c r="A81" i="1"/>
  <c r="B80" i="1"/>
  <c r="C80" i="1" s="1"/>
  <c r="G68" i="1" s="1"/>
  <c r="J68" i="1" s="1"/>
  <c r="A80" i="1"/>
  <c r="C79" i="1"/>
  <c r="B79" i="1"/>
  <c r="Q76" i="1"/>
  <c r="L76" i="1"/>
  <c r="G76" i="1"/>
  <c r="B76" i="1"/>
  <c r="X73" i="1"/>
  <c r="Y73" i="1" s="1"/>
  <c r="W73" i="1"/>
  <c r="V73" i="1"/>
  <c r="S73" i="1"/>
  <c r="T73" i="1" s="1"/>
  <c r="O73" i="1"/>
  <c r="N73" i="1"/>
  <c r="I73" i="1"/>
  <c r="J73" i="1" s="1"/>
  <c r="E73" i="1"/>
  <c r="D73" i="1"/>
  <c r="S71" i="1"/>
  <c r="T71" i="1" s="1"/>
  <c r="R71" i="1"/>
  <c r="Q71" i="1"/>
  <c r="N71" i="1"/>
  <c r="O71" i="1" s="1"/>
  <c r="M71" i="1"/>
  <c r="L71" i="1"/>
  <c r="I71" i="1"/>
  <c r="J71" i="1" s="1"/>
  <c r="H71" i="1"/>
  <c r="G71" i="1"/>
  <c r="D71" i="1"/>
  <c r="E71" i="1" s="1"/>
  <c r="C71" i="1"/>
  <c r="B71" i="1"/>
  <c r="X70" i="1"/>
  <c r="Y70" i="1" s="1"/>
  <c r="W70" i="1"/>
  <c r="V70" i="1"/>
  <c r="S70" i="1"/>
  <c r="T70" i="1" s="1"/>
  <c r="O70" i="1"/>
  <c r="N70" i="1"/>
  <c r="I70" i="1"/>
  <c r="J70" i="1" s="1"/>
  <c r="E70" i="1"/>
  <c r="D70" i="1"/>
  <c r="X69" i="1"/>
  <c r="Y69" i="1" s="1"/>
  <c r="W69" i="1"/>
  <c r="W71" i="1" s="1"/>
  <c r="V69" i="1"/>
  <c r="V71" i="1" s="1"/>
  <c r="S69" i="1"/>
  <c r="T69" i="1" s="1"/>
  <c r="O69" i="1"/>
  <c r="N69" i="1"/>
  <c r="I69" i="1"/>
  <c r="J69" i="1" s="1"/>
  <c r="E69" i="1"/>
  <c r="D69" i="1"/>
  <c r="R68" i="1"/>
  <c r="Q68" i="1"/>
  <c r="T68" i="1" s="1"/>
  <c r="M68" i="1"/>
  <c r="H68" i="1"/>
  <c r="C68" i="1"/>
  <c r="W68" i="1" s="1"/>
  <c r="B68" i="1"/>
  <c r="E68" i="1" s="1"/>
  <c r="R67" i="1"/>
  <c r="M67" i="1"/>
  <c r="H67" i="1"/>
  <c r="C67" i="1"/>
  <c r="R64" i="1"/>
  <c r="Q64" i="1"/>
  <c r="T64" i="1" s="1"/>
  <c r="O64" i="1"/>
  <c r="M64" i="1"/>
  <c r="L64" i="1"/>
  <c r="H64" i="1"/>
  <c r="G64" i="1"/>
  <c r="J64" i="1" s="1"/>
  <c r="C64" i="1"/>
  <c r="B64" i="1"/>
  <c r="E64" i="1" s="1"/>
  <c r="W63" i="1"/>
  <c r="V63" i="1"/>
  <c r="X63" i="1" s="1"/>
  <c r="Y63" i="1" s="1"/>
  <c r="T63" i="1"/>
  <c r="S63" i="1"/>
  <c r="N63" i="1"/>
  <c r="O63" i="1" s="1"/>
  <c r="J63" i="1"/>
  <c r="I63" i="1"/>
  <c r="D63" i="1"/>
  <c r="E63" i="1" s="1"/>
  <c r="W62" i="1"/>
  <c r="V62" i="1"/>
  <c r="X62" i="1" s="1"/>
  <c r="Y62" i="1" s="1"/>
  <c r="T62" i="1"/>
  <c r="S62" i="1"/>
  <c r="N62" i="1"/>
  <c r="O62" i="1" s="1"/>
  <c r="J62" i="1"/>
  <c r="I62" i="1"/>
  <c r="D62" i="1"/>
  <c r="E62" i="1" s="1"/>
  <c r="W61" i="1"/>
  <c r="W64" i="1" s="1"/>
  <c r="V61" i="1"/>
  <c r="V64" i="1" s="1"/>
  <c r="Y64" i="1" s="1"/>
  <c r="T61" i="1"/>
  <c r="S61" i="1"/>
  <c r="N61" i="1"/>
  <c r="O61" i="1" s="1"/>
  <c r="J61" i="1"/>
  <c r="I61" i="1"/>
  <c r="D61" i="1"/>
  <c r="E61" i="1" s="1"/>
  <c r="R57" i="1"/>
  <c r="Q57" i="1"/>
  <c r="S57" i="1" s="1"/>
  <c r="T57" i="1" s="1"/>
  <c r="M57" i="1"/>
  <c r="L57" i="1"/>
  <c r="N57" i="1" s="1"/>
  <c r="O57" i="1" s="1"/>
  <c r="H57" i="1"/>
  <c r="G57" i="1"/>
  <c r="I57" i="1" s="1"/>
  <c r="J57" i="1" s="1"/>
  <c r="C57" i="1"/>
  <c r="W57" i="1" s="1"/>
  <c r="B57" i="1"/>
  <c r="V57" i="1" s="1"/>
  <c r="R56" i="1"/>
  <c r="W56" i="1" s="1"/>
  <c r="Q56" i="1"/>
  <c r="V56" i="1" s="1"/>
  <c r="X56" i="1" s="1"/>
  <c r="Y56" i="1" s="1"/>
  <c r="M56" i="1"/>
  <c r="L56" i="1"/>
  <c r="N56" i="1" s="1"/>
  <c r="H56" i="1"/>
  <c r="G56" i="1"/>
  <c r="I56" i="1" s="1"/>
  <c r="J56" i="1" s="1"/>
  <c r="C56" i="1"/>
  <c r="B56" i="1"/>
  <c r="D56" i="1" s="1"/>
  <c r="E56" i="1" s="1"/>
  <c r="W55" i="1"/>
  <c r="V55" i="1"/>
  <c r="X55" i="1" s="1"/>
  <c r="Y55" i="1" s="1"/>
  <c r="R55" i="1"/>
  <c r="Q55" i="1"/>
  <c r="S55" i="1" s="1"/>
  <c r="T55" i="1" s="1"/>
  <c r="N55" i="1"/>
  <c r="M55" i="1"/>
  <c r="L55" i="1"/>
  <c r="I55" i="1"/>
  <c r="J55" i="1" s="1"/>
  <c r="H55" i="1"/>
  <c r="G55" i="1"/>
  <c r="D55" i="1"/>
  <c r="E55" i="1" s="1"/>
  <c r="C55" i="1"/>
  <c r="B55" i="1"/>
  <c r="S54" i="1"/>
  <c r="T54" i="1" s="1"/>
  <c r="R54" i="1"/>
  <c r="Q54" i="1"/>
  <c r="N54" i="1"/>
  <c r="O54" i="1" s="1"/>
  <c r="M54" i="1"/>
  <c r="L54" i="1"/>
  <c r="I54" i="1"/>
  <c r="J54" i="1" s="1"/>
  <c r="H54" i="1"/>
  <c r="G54" i="1"/>
  <c r="D54" i="1"/>
  <c r="E54" i="1" s="1"/>
  <c r="C54" i="1"/>
  <c r="W54" i="1" s="1"/>
  <c r="B54" i="1"/>
  <c r="V54" i="1" s="1"/>
  <c r="X54" i="1" s="1"/>
  <c r="Y54" i="1" s="1"/>
  <c r="S53" i="1"/>
  <c r="T53" i="1" s="1"/>
  <c r="R53" i="1"/>
  <c r="Q53" i="1"/>
  <c r="N53" i="1"/>
  <c r="O53" i="1" s="1"/>
  <c r="M53" i="1"/>
  <c r="L53" i="1"/>
  <c r="I53" i="1"/>
  <c r="J53" i="1" s="1"/>
  <c r="H53" i="1"/>
  <c r="G53" i="1"/>
  <c r="D53" i="1"/>
  <c r="E53" i="1" s="1"/>
  <c r="C53" i="1"/>
  <c r="W53" i="1" s="1"/>
  <c r="B53" i="1"/>
  <c r="V53" i="1" s="1"/>
  <c r="X53" i="1" s="1"/>
  <c r="Y53" i="1" s="1"/>
  <c r="W50" i="1"/>
  <c r="S49" i="1"/>
  <c r="T49" i="1" s="1"/>
  <c r="R49" i="1"/>
  <c r="Q49" i="1"/>
  <c r="N49" i="1"/>
  <c r="O49" i="1" s="1"/>
  <c r="M49" i="1"/>
  <c r="L49" i="1"/>
  <c r="I49" i="1"/>
  <c r="J49" i="1" s="1"/>
  <c r="H49" i="1"/>
  <c r="G49" i="1"/>
  <c r="D49" i="1"/>
  <c r="E49" i="1" s="1"/>
  <c r="C49" i="1"/>
  <c r="W49" i="1" s="1"/>
  <c r="B49" i="1"/>
  <c r="V49" i="1" s="1"/>
  <c r="X49" i="1" s="1"/>
  <c r="Y49" i="1" s="1"/>
  <c r="R48" i="1"/>
  <c r="Q48" i="1"/>
  <c r="S48" i="1" s="1"/>
  <c r="T48" i="1" s="1"/>
  <c r="N48" i="1"/>
  <c r="O48" i="1" s="1"/>
  <c r="M48" i="1"/>
  <c r="L48" i="1"/>
  <c r="H48" i="1"/>
  <c r="G48" i="1"/>
  <c r="I48" i="1" s="1"/>
  <c r="C48" i="1"/>
  <c r="B48" i="1"/>
  <c r="D48" i="1" s="1"/>
  <c r="E48" i="1" s="1"/>
  <c r="R47" i="1"/>
  <c r="Q47" i="1"/>
  <c r="S47" i="1" s="1"/>
  <c r="T47" i="1" s="1"/>
  <c r="M47" i="1"/>
  <c r="L47" i="1"/>
  <c r="N47" i="1" s="1"/>
  <c r="O47" i="1" s="1"/>
  <c r="H47" i="1"/>
  <c r="G47" i="1"/>
  <c r="C47" i="1"/>
  <c r="W47" i="1" s="1"/>
  <c r="B47" i="1"/>
  <c r="R46" i="1"/>
  <c r="M46" i="1"/>
  <c r="H46" i="1"/>
  <c r="C46" i="1"/>
  <c r="R45" i="1"/>
  <c r="Q45" i="1"/>
  <c r="M45" i="1"/>
  <c r="L45" i="1"/>
  <c r="L46" i="1" s="1"/>
  <c r="N46" i="1" s="1"/>
  <c r="O46" i="1" s="1"/>
  <c r="H45" i="1"/>
  <c r="G45" i="1"/>
  <c r="I45" i="1" s="1"/>
  <c r="J45" i="1" s="1"/>
  <c r="C45" i="1"/>
  <c r="W45" i="1" s="1"/>
  <c r="B45" i="1"/>
  <c r="V45" i="1" s="1"/>
  <c r="R44" i="1"/>
  <c r="M44" i="1"/>
  <c r="H44" i="1"/>
  <c r="C44" i="1"/>
  <c r="R43" i="1"/>
  <c r="M43" i="1"/>
  <c r="H43" i="1"/>
  <c r="C43" i="1"/>
  <c r="R42" i="1"/>
  <c r="Q42" i="1"/>
  <c r="M42" i="1"/>
  <c r="L42" i="1"/>
  <c r="H42" i="1"/>
  <c r="G42" i="1"/>
  <c r="C42" i="1"/>
  <c r="W42" i="1" s="1"/>
  <c r="B42" i="1"/>
  <c r="R41" i="1"/>
  <c r="M41" i="1"/>
  <c r="H41" i="1"/>
  <c r="C41" i="1"/>
  <c r="R40" i="1"/>
  <c r="Q40" i="1"/>
  <c r="S40" i="1" s="1"/>
  <c r="T40" i="1" s="1"/>
  <c r="M40" i="1"/>
  <c r="L40" i="1"/>
  <c r="N40" i="1" s="1"/>
  <c r="O40" i="1" s="1"/>
  <c r="H40" i="1"/>
  <c r="G40" i="1"/>
  <c r="I40" i="1" s="1"/>
  <c r="J40" i="1" s="1"/>
  <c r="C40" i="1"/>
  <c r="W40" i="1" s="1"/>
  <c r="B40" i="1"/>
  <c r="V40" i="1" s="1"/>
  <c r="V39" i="1"/>
  <c r="R39" i="1"/>
  <c r="Q39" i="1"/>
  <c r="S39" i="1" s="1"/>
  <c r="M39" i="1"/>
  <c r="L39" i="1"/>
  <c r="N39" i="1" s="1"/>
  <c r="O39" i="1" s="1"/>
  <c r="I39" i="1"/>
  <c r="H39" i="1"/>
  <c r="G39" i="1"/>
  <c r="C39" i="1"/>
  <c r="W39" i="1" s="1"/>
  <c r="B39" i="1"/>
  <c r="R38" i="1"/>
  <c r="S38" i="1" s="1"/>
  <c r="T38" i="1" s="1"/>
  <c r="Q38" i="1"/>
  <c r="Q86" i="1" s="1"/>
  <c r="M38" i="1"/>
  <c r="N38" i="1" s="1"/>
  <c r="O38" i="1" s="1"/>
  <c r="L38" i="1"/>
  <c r="L86" i="1" s="1"/>
  <c r="H38" i="1"/>
  <c r="I38" i="1" s="1"/>
  <c r="J38" i="1" s="1"/>
  <c r="G38" i="1"/>
  <c r="G86" i="1" s="1"/>
  <c r="C38" i="1"/>
  <c r="D38" i="1" s="1"/>
  <c r="E38" i="1" s="1"/>
  <c r="B38" i="1"/>
  <c r="B86" i="1" s="1"/>
  <c r="R34" i="1"/>
  <c r="M34" i="1"/>
  <c r="H34" i="1"/>
  <c r="C34" i="1"/>
  <c r="R33" i="1"/>
  <c r="M33" i="1"/>
  <c r="H33" i="1"/>
  <c r="C33" i="1"/>
  <c r="R32" i="1"/>
  <c r="Q32" i="1"/>
  <c r="S32" i="1" s="1"/>
  <c r="T32" i="1" s="1"/>
  <c r="M32" i="1"/>
  <c r="L32" i="1"/>
  <c r="N32" i="1" s="1"/>
  <c r="O32" i="1" s="1"/>
  <c r="H32" i="1"/>
  <c r="G32" i="1"/>
  <c r="I32" i="1" s="1"/>
  <c r="J32" i="1" s="1"/>
  <c r="C32" i="1"/>
  <c r="W32" i="1" s="1"/>
  <c r="B32" i="1"/>
  <c r="V32" i="1" s="1"/>
  <c r="X32" i="1" s="1"/>
  <c r="Y32" i="1" s="1"/>
  <c r="R31" i="1"/>
  <c r="M31" i="1"/>
  <c r="H31" i="1"/>
  <c r="C31" i="1"/>
  <c r="R30" i="1"/>
  <c r="M30" i="1"/>
  <c r="H30" i="1"/>
  <c r="C30" i="1"/>
  <c r="R29" i="1"/>
  <c r="Q29" i="1"/>
  <c r="S29" i="1" s="1"/>
  <c r="T29" i="1" s="1"/>
  <c r="M29" i="1"/>
  <c r="L29" i="1"/>
  <c r="N29" i="1" s="1"/>
  <c r="O29" i="1" s="1"/>
  <c r="H29" i="1"/>
  <c r="G29" i="1"/>
  <c r="I29" i="1" s="1"/>
  <c r="J29" i="1" s="1"/>
  <c r="C29" i="1"/>
  <c r="W29" i="1" s="1"/>
  <c r="B29" i="1"/>
  <c r="V29" i="1" s="1"/>
  <c r="X29" i="1" s="1"/>
  <c r="Y29" i="1" s="1"/>
  <c r="R28" i="1"/>
  <c r="Q28" i="1"/>
  <c r="S28" i="1" s="1"/>
  <c r="T28" i="1" s="1"/>
  <c r="M28" i="1"/>
  <c r="L28" i="1"/>
  <c r="N28" i="1" s="1"/>
  <c r="O28" i="1" s="1"/>
  <c r="H28" i="1"/>
  <c r="G28" i="1"/>
  <c r="I28" i="1" s="1"/>
  <c r="J28" i="1" s="1"/>
  <c r="C28" i="1"/>
  <c r="W28" i="1" s="1"/>
  <c r="B28" i="1"/>
  <c r="V28" i="1" s="1"/>
  <c r="X28" i="1" s="1"/>
  <c r="Y28" i="1" s="1"/>
  <c r="R27" i="1"/>
  <c r="M27" i="1"/>
  <c r="H27" i="1"/>
  <c r="C27" i="1"/>
  <c r="R26" i="1"/>
  <c r="M26" i="1"/>
  <c r="H26" i="1"/>
  <c r="C26" i="1"/>
  <c r="S25" i="1"/>
  <c r="T25" i="1" s="1"/>
  <c r="R25" i="1"/>
  <c r="R72" i="1" s="1"/>
  <c r="Q25" i="1"/>
  <c r="Q72" i="1" s="1"/>
  <c r="S72" i="1" s="1"/>
  <c r="T72" i="1" s="1"/>
  <c r="N25" i="1"/>
  <c r="O25" i="1" s="1"/>
  <c r="M25" i="1"/>
  <c r="M72" i="1" s="1"/>
  <c r="L25" i="1"/>
  <c r="L72" i="1" s="1"/>
  <c r="N72" i="1" s="1"/>
  <c r="O72" i="1" s="1"/>
  <c r="I25" i="1"/>
  <c r="J25" i="1" s="1"/>
  <c r="H25" i="1"/>
  <c r="H72" i="1" s="1"/>
  <c r="G25" i="1"/>
  <c r="G72" i="1" s="1"/>
  <c r="I72" i="1" s="1"/>
  <c r="J72" i="1" s="1"/>
  <c r="D25" i="1"/>
  <c r="E25" i="1" s="1"/>
  <c r="C25" i="1"/>
  <c r="C72" i="1" s="1"/>
  <c r="B25" i="1"/>
  <c r="B72" i="1" s="1"/>
  <c r="D72" i="1" s="1"/>
  <c r="E72" i="1" s="1"/>
  <c r="R24" i="1"/>
  <c r="M24" i="1"/>
  <c r="H24" i="1"/>
  <c r="C24" i="1"/>
  <c r="R23" i="1"/>
  <c r="R66" i="1" s="1"/>
  <c r="Q23" i="1"/>
  <c r="Q66" i="1" s="1"/>
  <c r="M23" i="1"/>
  <c r="M66" i="1" s="1"/>
  <c r="L23" i="1"/>
  <c r="L66" i="1" s="1"/>
  <c r="I23" i="1"/>
  <c r="J23" i="1" s="1"/>
  <c r="H23" i="1"/>
  <c r="H66" i="1" s="1"/>
  <c r="G23" i="1"/>
  <c r="G66" i="1" s="1"/>
  <c r="D23" i="1"/>
  <c r="E23" i="1" s="1"/>
  <c r="C23" i="1"/>
  <c r="C66" i="1" s="1"/>
  <c r="B23" i="1"/>
  <c r="B66" i="1" s="1"/>
  <c r="R22" i="1"/>
  <c r="M22" i="1"/>
  <c r="H22" i="1"/>
  <c r="C22" i="1"/>
  <c r="R21" i="1"/>
  <c r="Q21" i="1"/>
  <c r="S21" i="1" s="1"/>
  <c r="T21" i="1" s="1"/>
  <c r="M21" i="1"/>
  <c r="L21" i="1"/>
  <c r="N21" i="1" s="1"/>
  <c r="O21" i="1" s="1"/>
  <c r="I21" i="1"/>
  <c r="J21" i="1" s="1"/>
  <c r="H21" i="1"/>
  <c r="G21" i="1"/>
  <c r="D21" i="1"/>
  <c r="E21" i="1" s="1"/>
  <c r="C21" i="1"/>
  <c r="W21" i="1" s="1"/>
  <c r="B21" i="1"/>
  <c r="R20" i="1"/>
  <c r="M20" i="1"/>
  <c r="H20" i="1"/>
  <c r="C20" i="1"/>
  <c r="S19" i="1"/>
  <c r="T19" i="1" s="1"/>
  <c r="R19" i="1"/>
  <c r="Q19" i="1"/>
  <c r="M19" i="1"/>
  <c r="L19" i="1"/>
  <c r="H19" i="1"/>
  <c r="G19" i="1"/>
  <c r="I19" i="1" s="1"/>
  <c r="C19" i="1"/>
  <c r="W19" i="1" s="1"/>
  <c r="B19" i="1"/>
  <c r="V19" i="1" s="1"/>
  <c r="X19" i="1" s="1"/>
  <c r="Y19" i="1" s="1"/>
  <c r="R18" i="1"/>
  <c r="W18" i="1" s="1"/>
  <c r="Q18" i="1"/>
  <c r="Q20" i="1" s="1"/>
  <c r="N18" i="1"/>
  <c r="M18" i="1"/>
  <c r="L18" i="1"/>
  <c r="J18" i="1"/>
  <c r="I18" i="1"/>
  <c r="H18" i="1"/>
  <c r="G18" i="1"/>
  <c r="E18" i="1"/>
  <c r="D18" i="1"/>
  <c r="C18" i="1"/>
  <c r="B18" i="1"/>
  <c r="T17" i="1"/>
  <c r="S17" i="1"/>
  <c r="R17" i="1"/>
  <c r="Q17" i="1"/>
  <c r="O17" i="1"/>
  <c r="N17" i="1"/>
  <c r="M17" i="1"/>
  <c r="L17" i="1"/>
  <c r="J17" i="1"/>
  <c r="I17" i="1"/>
  <c r="H17" i="1"/>
  <c r="G17" i="1"/>
  <c r="E17" i="1"/>
  <c r="D17" i="1"/>
  <c r="C17" i="1"/>
  <c r="W17" i="1" s="1"/>
  <c r="B17" i="1"/>
  <c r="V17" i="1" s="1"/>
  <c r="T16" i="1"/>
  <c r="S16" i="1"/>
  <c r="R16" i="1"/>
  <c r="Q16" i="1"/>
  <c r="O16" i="1"/>
  <c r="N16" i="1"/>
  <c r="M16" i="1"/>
  <c r="L16" i="1"/>
  <c r="J16" i="1"/>
  <c r="I16" i="1"/>
  <c r="H16" i="1"/>
  <c r="G16" i="1"/>
  <c r="E16" i="1"/>
  <c r="D16" i="1"/>
  <c r="C16" i="1"/>
  <c r="W16" i="1" s="1"/>
  <c r="B16" i="1"/>
  <c r="V16" i="1" s="1"/>
  <c r="T15" i="1"/>
  <c r="S15" i="1"/>
  <c r="R15" i="1"/>
  <c r="Q15" i="1"/>
  <c r="Q50" i="1" s="1"/>
  <c r="S50" i="1" s="1"/>
  <c r="T50" i="1" s="1"/>
  <c r="O15" i="1"/>
  <c r="N15" i="1"/>
  <c r="M15" i="1"/>
  <c r="L15" i="1"/>
  <c r="L50" i="1" s="1"/>
  <c r="N50" i="1" s="1"/>
  <c r="O50" i="1" s="1"/>
  <c r="I15" i="1"/>
  <c r="J15" i="1" s="1"/>
  <c r="H15" i="1"/>
  <c r="G15" i="1"/>
  <c r="G50" i="1" s="1"/>
  <c r="I50" i="1" s="1"/>
  <c r="J50" i="1" s="1"/>
  <c r="D15" i="1"/>
  <c r="E15" i="1" s="1"/>
  <c r="C15" i="1"/>
  <c r="W15" i="1" s="1"/>
  <c r="B15" i="1"/>
  <c r="B50" i="1" s="1"/>
  <c r="S14" i="1"/>
  <c r="T14" i="1" s="1"/>
  <c r="R14" i="1"/>
  <c r="R65" i="1" s="1"/>
  <c r="Q14" i="1"/>
  <c r="Q65" i="1" s="1"/>
  <c r="S65" i="1" s="1"/>
  <c r="T65" i="1" s="1"/>
  <c r="N14" i="1"/>
  <c r="O14" i="1" s="1"/>
  <c r="M14" i="1"/>
  <c r="M65" i="1" s="1"/>
  <c r="L14" i="1"/>
  <c r="L65" i="1" s="1"/>
  <c r="N65" i="1" s="1"/>
  <c r="O65" i="1" s="1"/>
  <c r="I14" i="1"/>
  <c r="J14" i="1" s="1"/>
  <c r="H14" i="1"/>
  <c r="H65" i="1" s="1"/>
  <c r="G14" i="1"/>
  <c r="G65" i="1" s="1"/>
  <c r="I65" i="1" s="1"/>
  <c r="J65" i="1" s="1"/>
  <c r="D14" i="1"/>
  <c r="E14" i="1" s="1"/>
  <c r="C14" i="1"/>
  <c r="C65" i="1" s="1"/>
  <c r="B14" i="1"/>
  <c r="B65" i="1" s="1"/>
  <c r="D65" i="1" s="1"/>
  <c r="E65" i="1" s="1"/>
  <c r="W10" i="1"/>
  <c r="V10" i="1"/>
  <c r="R10" i="1"/>
  <c r="Q10" i="1"/>
  <c r="M10" i="1"/>
  <c r="L10" i="1"/>
  <c r="H10" i="1"/>
  <c r="G10" i="1"/>
  <c r="C10" i="1"/>
  <c r="B10" i="1"/>
  <c r="A3" i="1"/>
  <c r="A2" i="1"/>
  <c r="Q22" i="1" l="1"/>
  <c r="S20" i="1"/>
  <c r="T20" i="1" s="1"/>
  <c r="X16" i="1"/>
  <c r="Y16" i="1" s="1"/>
  <c r="X17" i="1"/>
  <c r="Y17" i="1" s="1"/>
  <c r="V14" i="1"/>
  <c r="D50" i="1"/>
  <c r="E50" i="1" s="1"/>
  <c r="V50" i="1"/>
  <c r="X50" i="1" s="1"/>
  <c r="Y50" i="1" s="1"/>
  <c r="V15" i="1"/>
  <c r="X15" i="1" s="1"/>
  <c r="Y15" i="1" s="1"/>
  <c r="L20" i="1"/>
  <c r="S23" i="1"/>
  <c r="T23" i="1" s="1"/>
  <c r="X39" i="1"/>
  <c r="Y39" i="1" s="1"/>
  <c r="W14" i="1"/>
  <c r="S18" i="1"/>
  <c r="T18" i="1" s="1"/>
  <c r="D19" i="1"/>
  <c r="E19" i="1" s="1"/>
  <c r="G20" i="1"/>
  <c r="V21" i="1"/>
  <c r="X21" i="1" s="1"/>
  <c r="Y21" i="1" s="1"/>
  <c r="N23" i="1"/>
  <c r="O23" i="1" s="1"/>
  <c r="W23" i="1"/>
  <c r="W46" i="1" s="1"/>
  <c r="X40" i="1"/>
  <c r="Y40" i="1" s="1"/>
  <c r="B43" i="1"/>
  <c r="D43" i="1" s="1"/>
  <c r="E43" i="1" s="1"/>
  <c r="L43" i="1"/>
  <c r="N43" i="1" s="1"/>
  <c r="O43" i="1" s="1"/>
  <c r="X45" i="1"/>
  <c r="Y45" i="1" s="1"/>
  <c r="N19" i="1"/>
  <c r="B20" i="1"/>
  <c r="W43" i="1"/>
  <c r="V18" i="1"/>
  <c r="X18" i="1" s="1"/>
  <c r="Y18" i="1" s="1"/>
  <c r="G43" i="1"/>
  <c r="I43" i="1" s="1"/>
  <c r="J43" i="1" s="1"/>
  <c r="Q43" i="1"/>
  <c r="S43" i="1" s="1"/>
  <c r="T43" i="1" s="1"/>
  <c r="V25" i="1"/>
  <c r="D32" i="1"/>
  <c r="E32" i="1" s="1"/>
  <c r="D40" i="1"/>
  <c r="E40" i="1" s="1"/>
  <c r="D42" i="1"/>
  <c r="E42" i="1" s="1"/>
  <c r="I42" i="1"/>
  <c r="J42" i="1" s="1"/>
  <c r="N42" i="1"/>
  <c r="O42" i="1" s="1"/>
  <c r="S42" i="1"/>
  <c r="T42" i="1" s="1"/>
  <c r="D45" i="1"/>
  <c r="E45" i="1" s="1"/>
  <c r="S45" i="1"/>
  <c r="T45" i="1" s="1"/>
  <c r="I47" i="1"/>
  <c r="J47" i="1" s="1"/>
  <c r="W48" i="1"/>
  <c r="V48" i="1"/>
  <c r="X48" i="1" s="1"/>
  <c r="Y48" i="1" s="1"/>
  <c r="X57" i="1"/>
  <c r="Y57" i="1" s="1"/>
  <c r="D66" i="1"/>
  <c r="E66" i="1" s="1"/>
  <c r="I66" i="1"/>
  <c r="J66" i="1" s="1"/>
  <c r="N66" i="1"/>
  <c r="O66" i="1" s="1"/>
  <c r="S66" i="1"/>
  <c r="T66" i="1" s="1"/>
  <c r="V23" i="1"/>
  <c r="V46" i="1" s="1"/>
  <c r="X46" i="1" s="1"/>
  <c r="Y46" i="1" s="1"/>
  <c r="W25" i="1"/>
  <c r="Q26" i="1"/>
  <c r="T26" i="1" s="1"/>
  <c r="D28" i="1"/>
  <c r="E28" i="1" s="1"/>
  <c r="D29" i="1"/>
  <c r="E29" i="1" s="1"/>
  <c r="V38" i="1"/>
  <c r="N45" i="1"/>
  <c r="O45" i="1" s="1"/>
  <c r="G46" i="1"/>
  <c r="I46" i="1" s="1"/>
  <c r="J46" i="1" s="1"/>
  <c r="D47" i="1"/>
  <c r="E47" i="1" s="1"/>
  <c r="V47" i="1"/>
  <c r="X47" i="1" s="1"/>
  <c r="Y47" i="1" s="1"/>
  <c r="X71" i="1"/>
  <c r="Y71" i="1" s="1"/>
  <c r="W38" i="1"/>
  <c r="V42" i="1"/>
  <c r="B46" i="1"/>
  <c r="D46" i="1" s="1"/>
  <c r="E46" i="1" s="1"/>
  <c r="D39" i="1"/>
  <c r="Q46" i="1"/>
  <c r="S46" i="1" s="1"/>
  <c r="T46" i="1" s="1"/>
  <c r="S56" i="1"/>
  <c r="T56" i="1" s="1"/>
  <c r="D57" i="1"/>
  <c r="E57" i="1" s="1"/>
  <c r="X61" i="1"/>
  <c r="Y61" i="1" s="1"/>
  <c r="V68" i="1"/>
  <c r="Y68" i="1" s="1"/>
  <c r="L22" i="1" l="1"/>
  <c r="N20" i="1"/>
  <c r="O20" i="1" s="1"/>
  <c r="V65" i="1"/>
  <c r="V20" i="1"/>
  <c r="X14" i="1"/>
  <c r="Y14" i="1" s="1"/>
  <c r="Q27" i="1"/>
  <c r="S22" i="1"/>
  <c r="T22" i="1" s="1"/>
  <c r="Q24" i="1"/>
  <c r="T24" i="1" s="1"/>
  <c r="X38" i="1"/>
  <c r="Y38" i="1" s="1"/>
  <c r="W72" i="1"/>
  <c r="V72" i="1"/>
  <c r="X72" i="1" s="1"/>
  <c r="Y72" i="1" s="1"/>
  <c r="X25" i="1"/>
  <c r="Y25" i="1" s="1"/>
  <c r="W65" i="1"/>
  <c r="W20" i="1"/>
  <c r="W22" i="1" s="1"/>
  <c r="W27" i="1" s="1"/>
  <c r="W30" i="1" s="1"/>
  <c r="V43" i="1"/>
  <c r="X43" i="1" s="1"/>
  <c r="Y43" i="1" s="1"/>
  <c r="X42" i="1"/>
  <c r="Y42" i="1" s="1"/>
  <c r="G22" i="1"/>
  <c r="I20" i="1"/>
  <c r="J20" i="1" s="1"/>
  <c r="V66" i="1"/>
  <c r="X66" i="1" s="1"/>
  <c r="Y66" i="1" s="1"/>
  <c r="X23" i="1"/>
  <c r="Y23" i="1" s="1"/>
  <c r="W66" i="1"/>
  <c r="W24" i="1"/>
  <c r="B22" i="1"/>
  <c r="D20" i="1"/>
  <c r="E20" i="1" s="1"/>
  <c r="L27" i="1" l="1"/>
  <c r="L24" i="1"/>
  <c r="O24" i="1" s="1"/>
  <c r="L26" i="1"/>
  <c r="O26" i="1" s="1"/>
  <c r="N22" i="1"/>
  <c r="O22" i="1" s="1"/>
  <c r="W33" i="1"/>
  <c r="W34" i="1" s="1"/>
  <c r="W31" i="1"/>
  <c r="V22" i="1"/>
  <c r="X20" i="1"/>
  <c r="Y20" i="1" s="1"/>
  <c r="G27" i="1"/>
  <c r="G26" i="1"/>
  <c r="J26" i="1" s="1"/>
  <c r="I22" i="1"/>
  <c r="J22" i="1" s="1"/>
  <c r="G24" i="1"/>
  <c r="J24" i="1" s="1"/>
  <c r="W26" i="1"/>
  <c r="X65" i="1"/>
  <c r="Y65" i="1" s="1"/>
  <c r="B27" i="1"/>
  <c r="D22" i="1"/>
  <c r="E22" i="1" s="1"/>
  <c r="B24" i="1"/>
  <c r="E24" i="1" s="1"/>
  <c r="B26" i="1"/>
  <c r="E26" i="1" s="1"/>
  <c r="Q30" i="1"/>
  <c r="S27" i="1"/>
  <c r="T27" i="1" s="1"/>
  <c r="Q33" i="1" l="1"/>
  <c r="S30" i="1"/>
  <c r="T30" i="1" s="1"/>
  <c r="Q31" i="1"/>
  <c r="T31" i="1" s="1"/>
  <c r="B30" i="1"/>
  <c r="D27" i="1"/>
  <c r="E27" i="1" s="1"/>
  <c r="V27" i="1"/>
  <c r="X22" i="1"/>
  <c r="Y22" i="1" s="1"/>
  <c r="V24" i="1"/>
  <c r="Y24" i="1" s="1"/>
  <c r="V26" i="1"/>
  <c r="Y26" i="1" s="1"/>
  <c r="G30" i="1"/>
  <c r="I27" i="1"/>
  <c r="J27" i="1" s="1"/>
  <c r="L30" i="1"/>
  <c r="N27" i="1"/>
  <c r="O27" i="1" s="1"/>
  <c r="G33" i="1" l="1"/>
  <c r="G31" i="1"/>
  <c r="J31" i="1" s="1"/>
  <c r="I30" i="1"/>
  <c r="J30" i="1" s="1"/>
  <c r="V30" i="1"/>
  <c r="X27" i="1"/>
  <c r="Y27" i="1" s="1"/>
  <c r="Q77" i="1"/>
  <c r="Q34" i="1"/>
  <c r="T34" i="1" s="1"/>
  <c r="Q35" i="1"/>
  <c r="S33" i="1"/>
  <c r="T33" i="1" s="1"/>
  <c r="L33" i="1"/>
  <c r="L31" i="1"/>
  <c r="O31" i="1" s="1"/>
  <c r="N30" i="1"/>
  <c r="O30" i="1" s="1"/>
  <c r="B31" i="1"/>
  <c r="E31" i="1" s="1"/>
  <c r="B33" i="1"/>
  <c r="D30" i="1"/>
  <c r="E30" i="1" s="1"/>
  <c r="B77" i="1" l="1"/>
  <c r="B34" i="1"/>
  <c r="E34" i="1" s="1"/>
  <c r="B35" i="1"/>
  <c r="D33" i="1"/>
  <c r="E33" i="1" s="1"/>
  <c r="L77" i="1"/>
  <c r="L35" i="1"/>
  <c r="L34" i="1"/>
  <c r="O34" i="1" s="1"/>
  <c r="N33" i="1"/>
  <c r="O33" i="1" s="1"/>
  <c r="G77" i="1"/>
  <c r="G35" i="1"/>
  <c r="G34" i="1"/>
  <c r="J34" i="1" s="1"/>
  <c r="I33" i="1"/>
  <c r="J33" i="1" s="1"/>
  <c r="V31" i="1"/>
  <c r="Y31" i="1" s="1"/>
  <c r="V33" i="1"/>
  <c r="X30" i="1"/>
  <c r="Y30" i="1" s="1"/>
  <c r="V34" i="1" l="1"/>
  <c r="Y34" i="1" s="1"/>
  <c r="X33" i="1"/>
  <c r="Y33" i="1" s="1"/>
</calcChain>
</file>

<file path=xl/sharedStrings.xml><?xml version="1.0" encoding="utf-8"?>
<sst xmlns="http://schemas.openxmlformats.org/spreadsheetml/2006/main" count="99" uniqueCount="71">
  <si>
    <t>REGION IX</t>
  </si>
  <si>
    <t>(In Thousand)</t>
  </si>
  <si>
    <t xml:space="preserve">       ZAMCELCO</t>
  </si>
  <si>
    <t>ZAMSURECO I</t>
  </si>
  <si>
    <t>ZAMSURECO II</t>
  </si>
  <si>
    <t>ZANECO</t>
  </si>
  <si>
    <t xml:space="preserve">       T O T A L</t>
  </si>
  <si>
    <t>ZAMCELCO</t>
  </si>
  <si>
    <t>Inc. / (March.)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</si>
  <si>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</si>
  <si>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</si>
  <si>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</si>
  <si>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</si>
  <si>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</si>
  <si>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  Universal Charge</t>
  </si>
  <si>
    <t xml:space="preserve">              Value Added Tax</t>
  </si>
  <si>
    <t xml:space="preserve">              Other Taxes</t>
  </si>
  <si>
    <t xml:space="preserve">  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</si>
  <si>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</si>
  <si>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</si>
  <si>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</si>
  <si>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</si>
  <si>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</si>
  <si>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</si>
  <si>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</si>
  <si>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</si>
  <si>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</si>
  <si>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</si>
  <si>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</si>
  <si>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</si>
  <si>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</si>
  <si>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</si>
  <si>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</si>
  <si>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</si>
  <si>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</si>
  <si>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</si>
  <si>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</si>
  <si>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</si>
  <si>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</si>
  <si>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</si>
  <si>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</si>
  <si>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</si>
  <si>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</si>
  <si>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</si>
  <si>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</si>
  <si>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</si>
  <si>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</si>
  <si>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</si>
  <si>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</si>
  <si>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</si>
  <si>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</si>
  <si>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</si>
  <si>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</si>
  <si>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</si>
  <si>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</si>
  <si>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</si>
  <si>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</si>
  <si>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</si>
  <si>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</si>
  <si>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</si>
  <si>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</si>
  <si>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</si>
  <si>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</si>
  <si>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</si>
  <si>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</si>
  <si>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C - Mega Large</t>
  </si>
  <si>
    <t>AAA - Mega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</si>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</sst>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i/>
      <sz val="12"/>
      <color theme="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164" fontId="3" fillId="0" borderId="0" xfId="1" applyNumberFormat="1" applyFont="1" applyFill="1"/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left"/>
    </xf>
    <xf numFmtId="164" fontId="2" fillId="0" borderId="0" xfId="2" applyNumberFormat="1" applyFont="1" applyFill="1" applyAlignment="1">
      <alignment horizontal="left" vertical="top"/>
    </xf>
    <xf numFmtId="164" fontId="2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164" fontId="9" fillId="0" borderId="0" xfId="1" applyNumberFormat="1" applyFont="1" applyFill="1"/>
    <xf numFmtId="164" fontId="10" fillId="0" borderId="0" xfId="1" applyNumberFormat="1" applyFont="1" applyFill="1"/>
    <xf numFmtId="164" fontId="1" fillId="0" borderId="0" xfId="2" applyNumberFormat="1" applyFont="1" applyFill="1" applyAlignment="1">
      <alignment horizontal="left"/>
    </xf>
    <xf numFmtId="43" fontId="2" fillId="0" borderId="0" xfId="2" applyFont="1" applyFill="1" applyAlignment="1">
      <alignment horizontal="left"/>
    </xf>
    <xf numFmtId="43" fontId="2" fillId="0" borderId="0" xfId="1" applyFont="1" applyFill="1"/>
    <xf numFmtId="43" fontId="3" fillId="0" borderId="0" xfId="1" applyFont="1" applyFill="1"/>
    <xf numFmtId="43" fontId="2" fillId="0" borderId="0" xfId="2" applyFont="1" applyFill="1"/>
    <xf numFmtId="43" fontId="1" fillId="0" borderId="0" xfId="2" applyFont="1" applyFill="1" applyAlignment="1">
      <alignment horizontal="left"/>
    </xf>
    <xf numFmtId="43" fontId="7" fillId="0" borderId="0" xfId="2" applyFont="1" applyFill="1"/>
    <xf numFmtId="164" fontId="7" fillId="0" borderId="0" xfId="1" applyNumberFormat="1" applyFont="1" applyFill="1"/>
    <xf numFmtId="164" fontId="11" fillId="0" borderId="0" xfId="1" applyNumberFormat="1" applyFont="1" applyFill="1"/>
    <xf numFmtId="164" fontId="12" fillId="0" borderId="0" xfId="1" applyNumberFormat="1" applyFont="1" applyFill="1"/>
    <xf numFmtId="164" fontId="2" fillId="0" borderId="0" xfId="1" applyNumberFormat="1" applyFont="1"/>
    <xf numFmtId="43" fontId="2" fillId="0" borderId="0" xfId="2" applyNumberFormat="1" applyFont="1" applyFill="1" applyAlignment="1">
      <alignment horizontal="left"/>
    </xf>
    <xf numFmtId="43" fontId="2" fillId="0" borderId="0" xfId="1" applyNumberFormat="1" applyFont="1" applyFill="1"/>
    <xf numFmtId="43" fontId="2" fillId="0" borderId="0" xfId="2" applyNumberFormat="1" applyFont="1" applyFill="1"/>
    <xf numFmtId="164" fontId="2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right"/>
    </xf>
    <xf numFmtId="43" fontId="2" fillId="0" borderId="0" xfId="2" applyFont="1" applyFill="1" applyAlignment="1">
      <alignment horizontal="center"/>
    </xf>
    <xf numFmtId="43" fontId="2" fillId="0" borderId="0" xfId="2" applyFont="1" applyFill="1" applyAlignment="1">
      <alignment horizontal="center"/>
    </xf>
    <xf numFmtId="37" fontId="2" fillId="0" borderId="0" xfId="0" applyNumberFormat="1" applyFont="1"/>
    <xf numFmtId="37" fontId="3" fillId="0" borderId="0" xfId="0" applyNumberFormat="1" applyFont="1"/>
    <xf numFmtId="39" fontId="2" fillId="0" borderId="0" xfId="0" applyNumberFormat="1" applyFont="1"/>
    <xf numFmtId="0" fontId="13" fillId="0" borderId="0" xfId="0" applyFont="1"/>
    <xf numFmtId="43" fontId="13" fillId="0" borderId="0" xfId="0" applyNumberFormat="1" applyFont="1"/>
    <xf numFmtId="0" fontId="14" fillId="0" borderId="0" xfId="0" applyFont="1"/>
    <xf numFmtId="2" fontId="2" fillId="0" borderId="0" xfId="0" applyNumberFormat="1" applyFont="1"/>
    <xf numFmtId="43" fontId="13" fillId="0" borderId="0" xfId="1" applyFont="1"/>
    <xf numFmtId="43" fontId="15" fillId="0" borderId="0" xfId="0" applyNumberFormat="1" applyFont="1"/>
  </cellXfs>
  <cellStyles count="3">
    <cellStyle name="Comma" xfId="1" builtinId="3"/>
    <cellStyle name="Comma 1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9\ZAMCEL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9\ZAMSURECO%201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9\ZAMSURECO%202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9\ZANECO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91">
          <cell r="A91" t="str">
            <v>ZAMCELCO</v>
          </cell>
          <cell r="N91">
            <v>91.292532310109848</v>
          </cell>
          <cell r="P91">
            <v>-485659.8578</v>
          </cell>
          <cell r="S91">
            <v>238534.06703000001</v>
          </cell>
        </row>
        <row r="92">
          <cell r="A92" t="str">
            <v>ZAMSURECO I</v>
          </cell>
          <cell r="N92">
            <v>99.986142734079792</v>
          </cell>
          <cell r="P92">
            <v>114130.97159000002</v>
          </cell>
          <cell r="S92">
            <v>342260.43177999998</v>
          </cell>
        </row>
        <row r="93">
          <cell r="A93" t="str">
            <v>ZAMSURECO II</v>
          </cell>
          <cell r="N93">
            <v>89.49152502658994</v>
          </cell>
          <cell r="P93">
            <v>52527.198269999993</v>
          </cell>
          <cell r="S93">
            <v>19212.338680000001</v>
          </cell>
        </row>
        <row r="94">
          <cell r="A94" t="str">
            <v>ZANECO</v>
          </cell>
          <cell r="N94">
            <v>98.912693279746449</v>
          </cell>
          <cell r="P94">
            <v>61493.714720000004</v>
          </cell>
          <cell r="S94">
            <v>81344.118519999989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5381346.98061</v>
          </cell>
        </row>
        <row r="6">
          <cell r="U6">
            <v>78825.228960000008</v>
          </cell>
        </row>
        <row r="7">
          <cell r="U7">
            <v>168411.74781999999</v>
          </cell>
        </row>
        <row r="10">
          <cell r="U10">
            <v>522564.43160999997</v>
          </cell>
        </row>
        <row r="11">
          <cell r="U11">
            <v>3243.70777</v>
          </cell>
        </row>
        <row r="12">
          <cell r="U12">
            <v>3733.4015899999995</v>
          </cell>
        </row>
        <row r="14">
          <cell r="U14">
            <v>123718.07806000001</v>
          </cell>
        </row>
        <row r="16">
          <cell r="U16">
            <v>4858231.7350300001</v>
          </cell>
        </row>
        <row r="18">
          <cell r="U18">
            <v>349708.68949000002</v>
          </cell>
        </row>
        <row r="21">
          <cell r="U21">
            <v>84369.043379999988</v>
          </cell>
        </row>
        <row r="22">
          <cell r="U22">
            <v>-198.40929000000006</v>
          </cell>
        </row>
        <row r="25">
          <cell r="U25">
            <v>660.57216999999991</v>
          </cell>
        </row>
        <row r="31">
          <cell r="U31">
            <v>238534.07</v>
          </cell>
        </row>
        <row r="32">
          <cell r="U32">
            <v>0</v>
          </cell>
        </row>
        <row r="33">
          <cell r="U33">
            <v>189707.08</v>
          </cell>
        </row>
        <row r="35">
          <cell r="U35">
            <v>1285456.6200000001</v>
          </cell>
        </row>
        <row r="38">
          <cell r="U38">
            <v>1648782.74</v>
          </cell>
        </row>
        <row r="40">
          <cell r="U40">
            <v>476906.28359666676</v>
          </cell>
        </row>
        <row r="41">
          <cell r="U41">
            <v>794.21253000000002</v>
          </cell>
        </row>
        <row r="42">
          <cell r="U42">
            <v>163035.98934999999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  <cell r="G14">
            <v>3182276.0798399998</v>
          </cell>
          <cell r="L14">
            <v>1585257.4186599997</v>
          </cell>
          <cell r="Q14">
            <v>2727819.8501599999</v>
          </cell>
        </row>
        <row r="15">
          <cell r="B15">
            <v>72466.574670000002</v>
          </cell>
          <cell r="G15">
            <v>58833.996329999994</v>
          </cell>
          <cell r="L15">
            <v>35312.059029999997</v>
          </cell>
          <cell r="Q15">
            <v>98407.829089999985</v>
          </cell>
        </row>
        <row r="16">
          <cell r="B16">
            <v>115801.84452000001</v>
          </cell>
          <cell r="G16">
            <v>50642.997839999996</v>
          </cell>
          <cell r="L16">
            <v>29975.703339999996</v>
          </cell>
          <cell r="Q16">
            <v>49944.838699999993</v>
          </cell>
        </row>
        <row r="17">
          <cell r="B17">
            <v>514095.57504000003</v>
          </cell>
          <cell r="G17">
            <v>319959.98326000001</v>
          </cell>
          <cell r="L17">
            <v>145907.33123000001</v>
          </cell>
          <cell r="Q17">
            <v>263561.24277999997</v>
          </cell>
        </row>
        <row r="18">
          <cell r="B18">
            <v>1396.8187199999998</v>
          </cell>
          <cell r="G18">
            <v>242.25137000000001</v>
          </cell>
          <cell r="L18">
            <v>0</v>
          </cell>
          <cell r="Q18">
            <v>3.0080000000000003E-2</v>
          </cell>
        </row>
        <row r="19">
          <cell r="B19">
            <v>3403.5148899999999</v>
          </cell>
          <cell r="G19">
            <v>0</v>
          </cell>
          <cell r="L19">
            <v>0</v>
          </cell>
          <cell r="Q19">
            <v>376.77075000000002</v>
          </cell>
        </row>
        <row r="20">
          <cell r="B20">
            <v>4743840.1439299993</v>
          </cell>
          <cell r="G20">
            <v>2752596.8510399996</v>
          </cell>
          <cell r="L20">
            <v>1374062.3250599997</v>
          </cell>
          <cell r="Q20">
            <v>2315529.1387599995</v>
          </cell>
        </row>
        <row r="21">
          <cell r="B21">
            <v>121737.92896000002</v>
          </cell>
          <cell r="G21">
            <v>76334.290329999989</v>
          </cell>
          <cell r="L21">
            <v>24838.76929</v>
          </cell>
          <cell r="Q21">
            <v>42924.516470000002</v>
          </cell>
        </row>
        <row r="22">
          <cell r="B22">
            <v>4865578.0728899995</v>
          </cell>
          <cell r="G22">
            <v>2828931.1413699994</v>
          </cell>
          <cell r="L22">
            <v>1398901.0943499997</v>
          </cell>
          <cell r="Q22">
            <v>2358453.6552299997</v>
          </cell>
        </row>
        <row r="23">
          <cell r="B23">
            <v>4798235.6517900005</v>
          </cell>
          <cell r="G23">
            <v>2414064.0444499999</v>
          </cell>
          <cell r="L23">
            <v>1271206.11635</v>
          </cell>
          <cell r="Q23">
            <v>1989115.0355699998</v>
          </cell>
        </row>
        <row r="24">
          <cell r="B24">
            <v>99</v>
          </cell>
          <cell r="G24">
            <v>85</v>
          </cell>
          <cell r="L24">
            <v>91</v>
          </cell>
          <cell r="Q24">
            <v>84</v>
          </cell>
        </row>
        <row r="25">
          <cell r="B25">
            <v>337424.38496</v>
          </cell>
          <cell r="G25">
            <v>278888.71888</v>
          </cell>
          <cell r="L25">
            <v>102661.92623</v>
          </cell>
          <cell r="Q25">
            <v>287212.77020000003</v>
          </cell>
        </row>
        <row r="26">
          <cell r="B26">
            <v>7</v>
          </cell>
          <cell r="G26">
            <v>10</v>
          </cell>
          <cell r="L26">
            <v>7</v>
          </cell>
          <cell r="Q26">
            <v>12</v>
          </cell>
        </row>
        <row r="27">
          <cell r="B27">
            <v>-270081.96386000101</v>
          </cell>
          <cell r="G27">
            <v>135978.37803999946</v>
          </cell>
          <cell r="L27">
            <v>25033.051769999656</v>
          </cell>
          <cell r="Q27">
            <v>82125.849459999823</v>
          </cell>
        </row>
        <row r="28">
          <cell r="B28">
            <v>82655.968710000001</v>
          </cell>
          <cell r="G28">
            <v>111822.82795000001</v>
          </cell>
          <cell r="L28">
            <v>18009.108139999997</v>
          </cell>
          <cell r="Q28">
            <v>58648.16419000001</v>
          </cell>
        </row>
        <row r="29">
          <cell r="B29">
            <v>6681.6910599999992</v>
          </cell>
          <cell r="G29">
            <v>2597.7060000000001</v>
          </cell>
          <cell r="L29">
            <v>14446.936659999999</v>
          </cell>
          <cell r="Q29">
            <v>22626.93691</v>
          </cell>
        </row>
        <row r="30">
          <cell r="B30">
            <v>-359419.62363000098</v>
          </cell>
          <cell r="G30">
            <v>21557.844089999453</v>
          </cell>
          <cell r="L30">
            <v>-7422.9930300003398</v>
          </cell>
          <cell r="Q30">
            <v>850.74835999981224</v>
          </cell>
        </row>
        <row r="31">
          <cell r="B31">
            <v>-7</v>
          </cell>
          <cell r="G31">
            <v>1</v>
          </cell>
          <cell r="L31">
            <v>-1</v>
          </cell>
          <cell r="Q31">
            <v>0</v>
          </cell>
        </row>
        <row r="32">
          <cell r="B32">
            <v>683.58239000000003</v>
          </cell>
          <cell r="G32">
            <v>4812.5217100000009</v>
          </cell>
          <cell r="L32">
            <v>234.92749999999998</v>
          </cell>
          <cell r="Q32">
            <v>720.40391999999997</v>
          </cell>
        </row>
        <row r="33">
          <cell r="B33">
            <v>-360103.20602000097</v>
          </cell>
          <cell r="G33">
            <v>16745.322379999452</v>
          </cell>
          <cell r="L33">
            <v>-7657.9205300003396</v>
          </cell>
          <cell r="Q33">
            <v>130.34443999981227</v>
          </cell>
        </row>
        <row r="34">
          <cell r="B34">
            <v>-7</v>
          </cell>
          <cell r="G34">
            <v>1</v>
          </cell>
          <cell r="L34">
            <v>-1</v>
          </cell>
          <cell r="Q34">
            <v>0</v>
          </cell>
        </row>
        <row r="38">
          <cell r="B38">
            <v>143501.43484</v>
          </cell>
          <cell r="G38">
            <v>287813.69988999999</v>
          </cell>
          <cell r="L38">
            <v>18837.259999999998</v>
          </cell>
          <cell r="Q38">
            <v>193859.73727000001</v>
          </cell>
        </row>
        <row r="39">
          <cell r="B39">
            <v>0</v>
          </cell>
          <cell r="G39">
            <v>0</v>
          </cell>
          <cell r="L39">
            <v>712.75</v>
          </cell>
          <cell r="Q39">
            <v>0</v>
          </cell>
        </row>
        <row r="40">
          <cell r="B40">
            <v>165682.37589</v>
          </cell>
          <cell r="G40">
            <v>10532.88415</v>
          </cell>
          <cell r="L40">
            <v>6276.45</v>
          </cell>
          <cell r="Q40">
            <v>143903.04246999999</v>
          </cell>
        </row>
        <row r="42">
          <cell r="B42">
            <v>1179897.92</v>
          </cell>
          <cell r="G42">
            <v>315996.90999999997</v>
          </cell>
          <cell r="L42">
            <v>377951.45</v>
          </cell>
          <cell r="Q42">
            <v>287406.36</v>
          </cell>
        </row>
        <row r="43">
          <cell r="B43">
            <v>1.9480962334547249</v>
          </cell>
          <cell r="G43">
            <v>0.89369121931840378</v>
          </cell>
          <cell r="L43">
            <v>2.1457480721807967</v>
          </cell>
          <cell r="Q43">
            <v>0.94825075777943324</v>
          </cell>
        </row>
        <row r="45">
          <cell r="B45">
            <v>2416608.88</v>
          </cell>
          <cell r="G45">
            <v>237352.84</v>
          </cell>
          <cell r="L45">
            <v>507628.52</v>
          </cell>
          <cell r="Q45">
            <v>384804.27</v>
          </cell>
        </row>
        <row r="46">
          <cell r="B46">
            <v>4.5328077856881146</v>
          </cell>
          <cell r="G46">
            <v>0.88488769173756054</v>
          </cell>
          <cell r="L46">
            <v>3.5939542936734235</v>
          </cell>
          <cell r="Q46">
            <v>1.7410950940841772</v>
          </cell>
        </row>
        <row r="47">
          <cell r="B47">
            <v>335073.27870777779</v>
          </cell>
          <cell r="G47">
            <v>175998.12255444445</v>
          </cell>
          <cell r="L47">
            <v>146044.54919999998</v>
          </cell>
          <cell r="Q47">
            <v>141787.92601444444</v>
          </cell>
        </row>
        <row r="48">
          <cell r="B48">
            <v>315.90957000000003</v>
          </cell>
          <cell r="G48">
            <v>0</v>
          </cell>
          <cell r="L48">
            <v>1664.88499</v>
          </cell>
          <cell r="Q48">
            <v>495.86903000000001</v>
          </cell>
        </row>
        <row r="49">
          <cell r="B49">
            <v>109441.22842</v>
          </cell>
          <cell r="G49">
            <v>48920.407249999997</v>
          </cell>
          <cell r="L49">
            <v>27961.836659999994</v>
          </cell>
          <cell r="Q49">
            <v>49272.470280000001</v>
          </cell>
        </row>
        <row r="53">
          <cell r="B53">
            <v>472928.27654000005</v>
          </cell>
          <cell r="G53">
            <v>82621.67297</v>
          </cell>
          <cell r="L53">
            <v>391794.43994999997</v>
          </cell>
          <cell r="Q53">
            <v>317564.96030000004</v>
          </cell>
        </row>
        <row r="54">
          <cell r="B54">
            <v>491112.45517999999</v>
          </cell>
          <cell r="G54">
            <v>85639.68551000001</v>
          </cell>
          <cell r="L54">
            <v>391794.43994999997</v>
          </cell>
          <cell r="Q54">
            <v>331809.34730000002</v>
          </cell>
        </row>
        <row r="55">
          <cell r="B55">
            <v>-1.9999998504194239</v>
          </cell>
          <cell r="G55">
            <v>-4.2490641538442189</v>
          </cell>
          <cell r="L55">
            <v>0</v>
          </cell>
          <cell r="Q55">
            <v>-1.1451991739418139</v>
          </cell>
        </row>
        <row r="56">
          <cell r="B56">
            <v>-18184.17863999994</v>
          </cell>
          <cell r="G56">
            <v>-3018.0125400000106</v>
          </cell>
          <cell r="L56">
            <v>0</v>
          </cell>
          <cell r="Q56">
            <v>-14244.386999999988</v>
          </cell>
        </row>
        <row r="57">
          <cell r="B57">
            <v>189071.87705000001</v>
          </cell>
          <cell r="G57">
            <v>18230.515660000001</v>
          </cell>
          <cell r="L57">
            <v>171006.60509999999</v>
          </cell>
          <cell r="Q57">
            <v>268706.44545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2919131.4852700001</v>
          </cell>
        </row>
        <row r="6">
          <cell r="U6">
            <v>67900.996859999999</v>
          </cell>
        </row>
        <row r="7">
          <cell r="U7">
            <v>75415.177809999994</v>
          </cell>
        </row>
        <row r="10">
          <cell r="U10">
            <v>282437.40874000004</v>
          </cell>
        </row>
        <row r="11">
          <cell r="U11">
            <v>384.70793000000003</v>
          </cell>
        </row>
        <row r="12">
          <cell r="U12">
            <v>0</v>
          </cell>
        </row>
        <row r="14">
          <cell r="U14">
            <v>86447.743820000003</v>
          </cell>
        </row>
        <row r="16">
          <cell r="U16">
            <v>2195156.12322</v>
          </cell>
        </row>
        <row r="18">
          <cell r="U18">
            <v>236149.14445000002</v>
          </cell>
        </row>
        <row r="21">
          <cell r="U21">
            <v>84319.061159999997</v>
          </cell>
        </row>
        <row r="22">
          <cell r="U22">
            <v>2176.6483500000004</v>
          </cell>
        </row>
        <row r="25">
          <cell r="U25">
            <v>15409.98941</v>
          </cell>
        </row>
        <row r="31">
          <cell r="U31">
            <v>342260.43</v>
          </cell>
        </row>
        <row r="32">
          <cell r="U32">
            <v>0</v>
          </cell>
        </row>
        <row r="33">
          <cell r="U33">
            <v>2709.7</v>
          </cell>
        </row>
        <row r="35">
          <cell r="U35">
            <v>315975.46000000002</v>
          </cell>
        </row>
        <row r="38">
          <cell r="U38">
            <v>265629.12</v>
          </cell>
        </row>
        <row r="40">
          <cell r="U40">
            <v>238125.77296888886</v>
          </cell>
        </row>
        <row r="41">
          <cell r="U41">
            <v>0</v>
          </cell>
        </row>
        <row r="42">
          <cell r="U42">
            <v>73164.807409999994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1442179.4733499999</v>
          </cell>
        </row>
        <row r="6">
          <cell r="U6">
            <v>42132.640069999994</v>
          </cell>
        </row>
        <row r="7">
          <cell r="U7">
            <v>46354.160110000004</v>
          </cell>
        </row>
        <row r="10">
          <cell r="U10">
            <v>124313.72954999999</v>
          </cell>
        </row>
        <row r="11">
          <cell r="U11">
            <v>0</v>
          </cell>
        </row>
        <row r="12">
          <cell r="U12">
            <v>-4026.2587400000002</v>
          </cell>
        </row>
        <row r="14">
          <cell r="U14">
            <v>21796.628390000002</v>
          </cell>
        </row>
        <row r="16">
          <cell r="U16">
            <v>1105252.7076900001</v>
          </cell>
        </row>
        <row r="18">
          <cell r="U18">
            <v>101516.76240000001</v>
          </cell>
        </row>
        <row r="21">
          <cell r="U21">
            <v>24103.557059999999</v>
          </cell>
        </row>
        <row r="22">
          <cell r="U22">
            <v>13767.987799999999</v>
          </cell>
        </row>
        <row r="25">
          <cell r="U25">
            <v>166.24923999999999</v>
          </cell>
        </row>
        <row r="31">
          <cell r="U31">
            <v>19212.34</v>
          </cell>
        </row>
        <row r="32">
          <cell r="U32">
            <v>542.66999999999996</v>
          </cell>
        </row>
        <row r="33">
          <cell r="U33">
            <v>2988.02</v>
          </cell>
        </row>
        <row r="35">
          <cell r="U35">
            <v>361087.7</v>
          </cell>
        </row>
        <row r="38">
          <cell r="U38">
            <v>249065.08</v>
          </cell>
        </row>
        <row r="40">
          <cell r="U40">
            <v>112184.79214222223</v>
          </cell>
        </row>
        <row r="41">
          <cell r="U41">
            <v>1554.0764799999999</v>
          </cell>
        </row>
        <row r="42">
          <cell r="U42">
            <v>48951.535400000001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2555077.7175100003</v>
          </cell>
        </row>
        <row r="6">
          <cell r="U6">
            <v>107860.97242000001</v>
          </cell>
        </row>
        <row r="7">
          <cell r="U7">
            <v>77123.298380000007</v>
          </cell>
        </row>
        <row r="10">
          <cell r="U10">
            <v>240557.84335000001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44838.427250000001</v>
          </cell>
        </row>
        <row r="16">
          <cell r="U16">
            <v>1826235.6297099998</v>
          </cell>
        </row>
        <row r="18">
          <cell r="U18">
            <v>306784.72388000001</v>
          </cell>
        </row>
        <row r="21">
          <cell r="U21">
            <v>61620.79806999999</v>
          </cell>
        </row>
        <row r="22">
          <cell r="U22">
            <v>25086.13942</v>
          </cell>
        </row>
        <row r="25">
          <cell r="U25">
            <v>1013.99216</v>
          </cell>
        </row>
        <row r="31">
          <cell r="U31">
            <v>81344.12</v>
          </cell>
        </row>
        <row r="32">
          <cell r="U32">
            <v>0</v>
          </cell>
        </row>
        <row r="33">
          <cell r="U33">
            <v>35199.019999999997</v>
          </cell>
        </row>
        <row r="35">
          <cell r="U35">
            <v>289811.49</v>
          </cell>
        </row>
        <row r="38">
          <cell r="U38">
            <v>399397.98</v>
          </cell>
        </row>
        <row r="40">
          <cell r="U40">
            <v>198743.4547588889</v>
          </cell>
        </row>
        <row r="41">
          <cell r="U41">
            <v>521.47923000000003</v>
          </cell>
        </row>
        <row r="42">
          <cell r="U42">
            <v>76312.20349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20">
          <cell r="X120">
            <v>509296.63654000009</v>
          </cell>
          <cell r="Y120">
            <v>85462.780969999993</v>
          </cell>
          <cell r="Z120">
            <v>423297.29995000007</v>
          </cell>
          <cell r="AA120">
            <v>369757.07329999999</v>
          </cell>
        </row>
        <row r="121">
          <cell r="X121">
            <v>527480.8151799998</v>
          </cell>
          <cell r="Y121">
            <v>88480.793510000003</v>
          </cell>
          <cell r="Z121">
            <v>423297.29995000007</v>
          </cell>
          <cell r="AA121">
            <v>403382.33630000002</v>
          </cell>
        </row>
        <row r="122">
          <cell r="X122">
            <v>-1.9999998504193983</v>
          </cell>
          <cell r="Y122">
            <v>-4.2490641538442189</v>
          </cell>
          <cell r="Z122">
            <v>0</v>
          </cell>
          <cell r="AA122">
            <v>-2.7033541991786878</v>
          </cell>
        </row>
        <row r="123">
          <cell r="X123">
            <v>-18184.178639999707</v>
          </cell>
          <cell r="Y123">
            <v>-3018.0125400000106</v>
          </cell>
          <cell r="Z123">
            <v>0</v>
          </cell>
          <cell r="AA123">
            <v>-33625.263000000035</v>
          </cell>
        </row>
        <row r="124">
          <cell r="I124">
            <v>-1.820516321472476</v>
          </cell>
          <cell r="X124">
            <v>160569.77205000015</v>
          </cell>
          <cell r="Y124">
            <v>16628.72666</v>
          </cell>
          <cell r="Z124">
            <v>149501.96409999998</v>
          </cell>
          <cell r="AA124">
            <v>393430.83152000001</v>
          </cell>
        </row>
      </sheetData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24">
          <cell r="I124">
            <v>-1.176984689188435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  <row r="67">
          <cell r="B67">
            <v>0</v>
          </cell>
          <cell r="G67">
            <v>0</v>
          </cell>
          <cell r="L67">
            <v>0</v>
          </cell>
          <cell r="Q67">
            <v>0</v>
          </cell>
        </row>
        <row r="68">
          <cell r="B68">
            <v>92.359355547114092</v>
          </cell>
          <cell r="G68" t="str">
            <v>100</v>
          </cell>
          <cell r="L68">
            <v>91.013853941735718</v>
          </cell>
          <cell r="Q68">
            <v>98.657560076094242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96"/>
  <sheetViews>
    <sheetView tabSelected="1" zoomScale="70" zoomScaleNormal="70" workbookViewId="0">
      <pane xSplit="1" ySplit="10" topLeftCell="B61" activePane="bottomRight" state="frozen"/>
      <selection activeCell="A9" sqref="A9:XFD9"/>
      <selection pane="topRight" activeCell="A9" sqref="A9:XFD9"/>
      <selection pane="bottomLeft" activeCell="A9" sqref="A9:XFD9"/>
      <selection pane="bottomRight" activeCell="D77" sqref="D77"/>
    </sheetView>
  </sheetViews>
  <sheetFormatPr defaultColWidth="12.5703125" defaultRowHeight="15" x14ac:dyDescent="0.2"/>
  <cols>
    <col min="1" max="1" width="45" style="2" customWidth="1"/>
    <col min="2" max="3" width="16.140625" style="2" customWidth="1"/>
    <col min="4" max="4" width="16.85546875" style="2" bestFit="1" customWidth="1"/>
    <col min="5" max="5" width="14.42578125" style="2" customWidth="1"/>
    <col min="6" max="6" width="1.42578125" style="2" customWidth="1"/>
    <col min="7" max="8" width="16.140625" style="2" customWidth="1"/>
    <col min="9" max="9" width="15" style="2" bestFit="1" customWidth="1"/>
    <col min="10" max="10" width="9.42578125" style="2" customWidth="1"/>
    <col min="11" max="11" width="1.42578125" style="2" customWidth="1"/>
    <col min="12" max="13" width="16.140625" style="3" customWidth="1"/>
    <col min="14" max="14" width="15" style="3" bestFit="1" customWidth="1"/>
    <col min="15" max="15" width="12.85546875" style="3" customWidth="1"/>
    <col min="16" max="16" width="1.42578125" style="2" customWidth="1"/>
    <col min="17" max="18" width="16.140625" style="2" customWidth="1"/>
    <col min="19" max="19" width="15" style="2" bestFit="1" customWidth="1"/>
    <col min="20" max="20" width="12.42578125" style="2" bestFit="1" customWidth="1"/>
    <col min="21" max="21" width="1.42578125" style="2" customWidth="1"/>
    <col min="22" max="22" width="16.140625" style="2" customWidth="1"/>
    <col min="23" max="23" width="17.5703125" style="2" customWidth="1"/>
    <col min="24" max="24" width="16.85546875" style="2" customWidth="1"/>
    <col min="25" max="25" width="9.5703125" style="2" customWidth="1"/>
    <col min="26" max="34" width="14.140625" style="2" customWidth="1"/>
    <col min="35" max="16384" width="12.5703125" style="2"/>
  </cols>
  <sheetData>
    <row r="1" spans="1:25" ht="17.25" customHeight="1" x14ac:dyDescent="0.25">
      <c r="A1" s="1" t="s">
        <v>0</v>
      </c>
    </row>
    <row r="2" spans="1:25" ht="17.25" customHeight="1" x14ac:dyDescent="0.25">
      <c r="A2" s="1" t="str">
        <f>[1]REG1!A2</f>
        <v>Financial Profile as of September 30, 2024</v>
      </c>
    </row>
    <row r="3" spans="1:25" ht="17.25" customHeight="1" x14ac:dyDescent="0.25">
      <c r="A3" s="1" t="str">
        <f>[1]REG1!A3</f>
        <v>With Comparative Figures as of September 30, 2023</v>
      </c>
    </row>
    <row r="4" spans="1:25" ht="17.25" customHeight="1" x14ac:dyDescent="0.2">
      <c r="A4" s="4" t="s">
        <v>1</v>
      </c>
    </row>
    <row r="5" spans="1:25" ht="15.75" x14ac:dyDescent="0.25">
      <c r="B5" s="5"/>
      <c r="C5" s="5"/>
      <c r="D5" s="5"/>
      <c r="E5" s="5"/>
      <c r="G5" s="5"/>
      <c r="H5" s="5"/>
      <c r="I5" s="5"/>
      <c r="J5" s="5"/>
      <c r="K5" s="6"/>
      <c r="L5" s="7"/>
      <c r="M5" s="7"/>
      <c r="N5" s="7"/>
      <c r="O5" s="7"/>
      <c r="P5" s="8"/>
      <c r="Q5" s="5"/>
      <c r="R5" s="5"/>
      <c r="S5" s="5"/>
      <c r="T5" s="5"/>
      <c r="U5" s="8"/>
      <c r="V5" s="9"/>
      <c r="W5" s="9"/>
      <c r="X5" s="9"/>
      <c r="Y5" s="9"/>
    </row>
    <row r="6" spans="1:25" ht="3" customHeight="1" x14ac:dyDescent="0.2"/>
    <row r="7" spans="1:25" ht="15.75" x14ac:dyDescent="0.25">
      <c r="B7" s="9" t="s">
        <v>2</v>
      </c>
      <c r="C7" s="9"/>
      <c r="D7" s="9"/>
      <c r="E7" s="9"/>
      <c r="F7" s="8"/>
      <c r="G7" s="9" t="s">
        <v>3</v>
      </c>
      <c r="H7" s="9"/>
      <c r="I7" s="9"/>
      <c r="J7" s="9"/>
      <c r="K7" s="6"/>
      <c r="L7" s="7" t="s">
        <v>4</v>
      </c>
      <c r="M7" s="7"/>
      <c r="N7" s="7"/>
      <c r="O7" s="7"/>
      <c r="P7" s="8"/>
      <c r="Q7" s="9" t="s">
        <v>5</v>
      </c>
      <c r="R7" s="9"/>
      <c r="S7" s="9"/>
      <c r="T7" s="9"/>
      <c r="U7" s="8"/>
      <c r="V7" s="9" t="s">
        <v>6</v>
      </c>
      <c r="W7" s="9"/>
      <c r="X7" s="9"/>
      <c r="Y7" s="9"/>
    </row>
    <row r="8" spans="1:25" s="10" customFormat="1" ht="9.9499999999999993" customHeight="1" x14ac:dyDescent="0.2">
      <c r="B8" s="10" t="s">
        <v>7</v>
      </c>
      <c r="C8" s="10" t="s">
        <v>7</v>
      </c>
      <c r="G8" s="10" t="s">
        <v>3</v>
      </c>
      <c r="H8" s="10" t="s">
        <v>3</v>
      </c>
      <c r="L8" s="3"/>
      <c r="M8" s="3"/>
      <c r="N8" s="3"/>
      <c r="O8" s="3"/>
      <c r="Q8" s="10" t="s">
        <v>5</v>
      </c>
      <c r="R8" s="10" t="s">
        <v>5</v>
      </c>
    </row>
    <row r="9" spans="1:25" ht="17.100000000000001" customHeight="1" x14ac:dyDescent="0.2">
      <c r="B9" s="11">
        <v>2024</v>
      </c>
      <c r="C9" s="11">
        <v>2023</v>
      </c>
      <c r="D9" s="12" t="s">
        <v>8</v>
      </c>
      <c r="E9" s="12"/>
      <c r="G9" s="11">
        <v>2024</v>
      </c>
      <c r="H9" s="11">
        <v>2023</v>
      </c>
      <c r="I9" s="12" t="s">
        <v>8</v>
      </c>
      <c r="J9" s="12"/>
      <c r="L9" s="11">
        <v>2024</v>
      </c>
      <c r="M9" s="11">
        <v>2023</v>
      </c>
      <c r="N9" s="13" t="s">
        <v>8</v>
      </c>
      <c r="O9" s="13"/>
      <c r="P9" s="11"/>
      <c r="Q9" s="11">
        <v>2024</v>
      </c>
      <c r="R9" s="11">
        <v>2023</v>
      </c>
      <c r="S9" s="12" t="s">
        <v>8</v>
      </c>
      <c r="T9" s="12"/>
      <c r="U9" s="11"/>
      <c r="V9" s="11">
        <v>2024</v>
      </c>
      <c r="W9" s="11">
        <v>2023</v>
      </c>
      <c r="X9" s="12" t="s">
        <v>8</v>
      </c>
      <c r="Y9" s="12"/>
    </row>
    <row r="10" spans="1:25" ht="17.100000000000001" customHeight="1" x14ac:dyDescent="0.2">
      <c r="B10" s="11" t="str">
        <f>'[1]DON''T DELETE'!$B$5</f>
        <v>September</v>
      </c>
      <c r="C10" s="11" t="str">
        <f>'[1]DON''T DELETE'!$B$5</f>
        <v>September</v>
      </c>
      <c r="D10" s="11" t="s">
        <v>9</v>
      </c>
      <c r="E10" s="11" t="s">
        <v>10</v>
      </c>
      <c r="G10" s="11" t="str">
        <f>'[1]DON''T DELETE'!$B$5</f>
        <v>September</v>
      </c>
      <c r="H10" s="11" t="str">
        <f>'[1]DON''T DELETE'!$B$5</f>
        <v>September</v>
      </c>
      <c r="I10" s="11" t="s">
        <v>9</v>
      </c>
      <c r="J10" s="11" t="s">
        <v>10</v>
      </c>
      <c r="L10" s="11" t="str">
        <f>'[1]DON''T DELETE'!$B$5</f>
        <v>September</v>
      </c>
      <c r="M10" s="11" t="str">
        <f>'[1]DON''T DELETE'!$B$5</f>
        <v>September</v>
      </c>
      <c r="N10" s="14" t="s">
        <v>9</v>
      </c>
      <c r="O10" s="14" t="s">
        <v>10</v>
      </c>
      <c r="P10" s="11"/>
      <c r="Q10" s="11" t="str">
        <f>'[1]DON''T DELETE'!$B$5</f>
        <v>September</v>
      </c>
      <c r="R10" s="11" t="str">
        <f>'[1]DON''T DELETE'!$B$5</f>
        <v>September</v>
      </c>
      <c r="S10" s="11" t="s">
        <v>9</v>
      </c>
      <c r="T10" s="11" t="s">
        <v>10</v>
      </c>
      <c r="U10" s="11"/>
      <c r="V10" s="11" t="str">
        <f>'[1]DON''T DELETE'!$B$5</f>
        <v>September</v>
      </c>
      <c r="W10" s="11" t="str">
        <f>'[1]DON''T DELETE'!$B$5</f>
        <v>September</v>
      </c>
      <c r="X10" s="11" t="s">
        <v>9</v>
      </c>
      <c r="Y10" s="11" t="s">
        <v>10</v>
      </c>
    </row>
    <row r="11" spans="1:25" ht="15" customHeight="1" x14ac:dyDescent="0.2"/>
    <row r="12" spans="1:25" ht="15.75" x14ac:dyDescent="0.25">
      <c r="A12" s="1" t="s">
        <v>11</v>
      </c>
    </row>
    <row r="13" spans="1:25" ht="10.5" customHeight="1" x14ac:dyDescent="0.2"/>
    <row r="14" spans="1:25" s="18" customFormat="1" ht="15" customHeight="1" x14ac:dyDescent="0.2">
      <c r="A14" s="15" t="s">
        <v>12</v>
      </c>
      <c r="B14" s="16">
        <f>[2]FP!U5</f>
        <v>5381346.98061</v>
      </c>
      <c r="C14" s="16">
        <f>[3]REG9!B14</f>
        <v>5451004.4717699997</v>
      </c>
      <c r="D14" s="16">
        <f t="shared" ref="D14:D23" si="0">B14-C14</f>
        <v>-69657.491159999743</v>
      </c>
      <c r="E14" s="16">
        <f t="shared" ref="E14:E23" si="1">D14/C14*100</f>
        <v>-1.2778835812875642</v>
      </c>
      <c r="F14" s="16"/>
      <c r="G14" s="16">
        <f>[4]FP!U5</f>
        <v>2919131.4852700001</v>
      </c>
      <c r="H14" s="16">
        <f>[3]REG9!G14</f>
        <v>3182276.0798399998</v>
      </c>
      <c r="I14" s="16">
        <f t="shared" ref="I14:I23" si="2">G14-H14</f>
        <v>-263144.59456999972</v>
      </c>
      <c r="J14" s="16">
        <f t="shared" ref="J14:J23" si="3">I14/H14*100</f>
        <v>-8.2690686781402771</v>
      </c>
      <c r="K14" s="16"/>
      <c r="L14" s="16">
        <f>[5]FP!U5</f>
        <v>1442179.4733499999</v>
      </c>
      <c r="M14" s="17">
        <f>[3]REG9!L14</f>
        <v>1585257.4186599997</v>
      </c>
      <c r="N14" s="17">
        <f t="shared" ref="N14:N23" si="4">L14-M14</f>
        <v>-143077.94530999986</v>
      </c>
      <c r="O14" s="17">
        <f t="shared" ref="O14:O23" si="5">N14/M14*100</f>
        <v>-9.0255338739207431</v>
      </c>
      <c r="P14" s="16"/>
      <c r="Q14" s="16">
        <f>[6]FP!U5</f>
        <v>2555077.7175100003</v>
      </c>
      <c r="R14" s="16">
        <f>[3]REG9!Q14</f>
        <v>2727819.8501599999</v>
      </c>
      <c r="S14" s="16">
        <f t="shared" ref="S14:S23" si="6">Q14-R14</f>
        <v>-172742.13264999958</v>
      </c>
      <c r="T14" s="16">
        <f t="shared" ref="T14:T23" si="7">S14/R14*100</f>
        <v>-6.332607801789675</v>
      </c>
      <c r="U14" s="16"/>
      <c r="V14" s="16">
        <f t="shared" ref="V14:W19" si="8">+B14+G14+L14+Q14</f>
        <v>12297735.65674</v>
      </c>
      <c r="W14" s="16">
        <f t="shared" si="8"/>
        <v>12946357.820429999</v>
      </c>
      <c r="X14" s="16">
        <f t="shared" ref="X14:X23" si="9">V14-W14</f>
        <v>-648622.16368999891</v>
      </c>
      <c r="Y14" s="16">
        <f t="shared" ref="Y14:Y23" si="10">X14/W14*100</f>
        <v>-5.0100744370470025</v>
      </c>
    </row>
    <row r="15" spans="1:25" s="18" customFormat="1" ht="15" customHeight="1" x14ac:dyDescent="0.2">
      <c r="A15" s="19" t="s">
        <v>13</v>
      </c>
      <c r="B15" s="16">
        <f>[2]FP!U6</f>
        <v>78825.228960000008</v>
      </c>
      <c r="C15" s="16">
        <f>[3]REG9!B15</f>
        <v>72466.574670000002</v>
      </c>
      <c r="D15" s="16">
        <f t="shared" si="0"/>
        <v>6358.6542900000059</v>
      </c>
      <c r="E15" s="16">
        <f t="shared" si="1"/>
        <v>8.7746030759094058</v>
      </c>
      <c r="F15" s="16"/>
      <c r="G15" s="16">
        <f>[4]FP!U6</f>
        <v>67900.996859999999</v>
      </c>
      <c r="H15" s="16">
        <f>[3]REG9!G15</f>
        <v>58833.996329999994</v>
      </c>
      <c r="I15" s="16">
        <f t="shared" si="2"/>
        <v>9067.0005300000048</v>
      </c>
      <c r="J15" s="16">
        <f t="shared" si="3"/>
        <v>15.411158676257825</v>
      </c>
      <c r="K15" s="16"/>
      <c r="L15" s="16">
        <f>[5]FP!U6</f>
        <v>42132.640069999994</v>
      </c>
      <c r="M15" s="17">
        <f>[3]REG9!L15</f>
        <v>35312.059029999997</v>
      </c>
      <c r="N15" s="17">
        <f t="shared" si="4"/>
        <v>6820.5810399999973</v>
      </c>
      <c r="O15" s="17">
        <f t="shared" si="5"/>
        <v>19.315160960184873</v>
      </c>
      <c r="P15" s="16"/>
      <c r="Q15" s="16">
        <f>[6]FP!U6</f>
        <v>107860.97242000001</v>
      </c>
      <c r="R15" s="16">
        <f>[3]REG9!Q15</f>
        <v>98407.829089999985</v>
      </c>
      <c r="S15" s="16">
        <f t="shared" si="6"/>
        <v>9453.1433300000208</v>
      </c>
      <c r="T15" s="16">
        <f t="shared" si="7"/>
        <v>9.6060886795445342</v>
      </c>
      <c r="U15" s="16"/>
      <c r="V15" s="16">
        <f t="shared" si="8"/>
        <v>296719.83831000002</v>
      </c>
      <c r="W15" s="16">
        <f t="shared" si="8"/>
        <v>265020.45912000001</v>
      </c>
      <c r="X15" s="16">
        <f t="shared" si="9"/>
        <v>31699.379190000007</v>
      </c>
      <c r="Y15" s="16">
        <f t="shared" si="10"/>
        <v>11.961106435049484</v>
      </c>
    </row>
    <row r="16" spans="1:25" s="18" customFormat="1" ht="15" customHeight="1" x14ac:dyDescent="0.2">
      <c r="A16" s="19" t="s">
        <v>14</v>
      </c>
      <c r="B16" s="16">
        <f>[2]FP!U7</f>
        <v>168411.74781999999</v>
      </c>
      <c r="C16" s="16">
        <f>[3]REG9!B16</f>
        <v>115801.84452000001</v>
      </c>
      <c r="D16" s="16">
        <f t="shared" si="0"/>
        <v>52609.903299999976</v>
      </c>
      <c r="E16" s="16">
        <f t="shared" si="1"/>
        <v>45.430971776027086</v>
      </c>
      <c r="F16" s="16"/>
      <c r="G16" s="16">
        <f>[4]FP!U7</f>
        <v>75415.177809999994</v>
      </c>
      <c r="H16" s="16">
        <f>[3]REG9!G16</f>
        <v>50642.997839999996</v>
      </c>
      <c r="I16" s="16">
        <f t="shared" si="2"/>
        <v>24772.179969999997</v>
      </c>
      <c r="J16" s="16">
        <f t="shared" si="3"/>
        <v>48.915311151730187</v>
      </c>
      <c r="K16" s="16"/>
      <c r="L16" s="16">
        <f>[5]FP!U7</f>
        <v>46354.160110000004</v>
      </c>
      <c r="M16" s="17">
        <f>[3]REG9!L16</f>
        <v>29975.703339999996</v>
      </c>
      <c r="N16" s="17">
        <f t="shared" si="4"/>
        <v>16378.456770000008</v>
      </c>
      <c r="O16" s="17">
        <f t="shared" si="5"/>
        <v>54.639107493916143</v>
      </c>
      <c r="P16" s="16"/>
      <c r="Q16" s="16">
        <f>[6]FP!U7</f>
        <v>77123.298380000007</v>
      </c>
      <c r="R16" s="16">
        <f>[3]REG9!Q16</f>
        <v>49944.838699999993</v>
      </c>
      <c r="S16" s="16">
        <f t="shared" si="6"/>
        <v>27178.459680000014</v>
      </c>
      <c r="T16" s="16">
        <f t="shared" si="7"/>
        <v>54.416953558006021</v>
      </c>
      <c r="U16" s="16"/>
      <c r="V16" s="16">
        <f t="shared" si="8"/>
        <v>367304.38412</v>
      </c>
      <c r="W16" s="16">
        <f t="shared" si="8"/>
        <v>246365.38440000001</v>
      </c>
      <c r="X16" s="16">
        <f t="shared" si="9"/>
        <v>120938.99971999999</v>
      </c>
      <c r="Y16" s="16">
        <f t="shared" si="10"/>
        <v>49.089282576988516</v>
      </c>
    </row>
    <row r="17" spans="1:25" s="18" customFormat="1" ht="15" customHeight="1" x14ac:dyDescent="0.2">
      <c r="A17" s="19" t="s">
        <v>15</v>
      </c>
      <c r="B17" s="16">
        <f>[2]FP!U10</f>
        <v>522564.43160999997</v>
      </c>
      <c r="C17" s="16">
        <f>[3]REG9!B17</f>
        <v>514095.57504000003</v>
      </c>
      <c r="D17" s="16">
        <f t="shared" si="0"/>
        <v>8468.8565699999453</v>
      </c>
      <c r="E17" s="16">
        <f t="shared" si="1"/>
        <v>1.6473311542004641</v>
      </c>
      <c r="F17" s="16"/>
      <c r="G17" s="16">
        <f>[4]FP!U10</f>
        <v>282437.40874000004</v>
      </c>
      <c r="H17" s="16">
        <f>[3]REG9!G17</f>
        <v>319959.98326000001</v>
      </c>
      <c r="I17" s="16">
        <f t="shared" si="2"/>
        <v>-37522.574519999966</v>
      </c>
      <c r="J17" s="16">
        <f t="shared" si="3"/>
        <v>-11.727271059865339</v>
      </c>
      <c r="K17" s="16"/>
      <c r="L17" s="16">
        <f>[5]FP!U10</f>
        <v>124313.72954999999</v>
      </c>
      <c r="M17" s="17">
        <f>[3]REG9!L17</f>
        <v>145907.33123000001</v>
      </c>
      <c r="N17" s="17">
        <f t="shared" si="4"/>
        <v>-21593.601680000022</v>
      </c>
      <c r="O17" s="17">
        <f t="shared" si="5"/>
        <v>-14.799531660243376</v>
      </c>
      <c r="P17" s="16"/>
      <c r="Q17" s="16">
        <f>[6]FP!U10</f>
        <v>240557.84335000001</v>
      </c>
      <c r="R17" s="16">
        <f>[3]REG9!Q17</f>
        <v>263561.24277999997</v>
      </c>
      <c r="S17" s="16">
        <f t="shared" si="6"/>
        <v>-23003.399429999961</v>
      </c>
      <c r="T17" s="16">
        <f t="shared" si="7"/>
        <v>-8.7279143121970222</v>
      </c>
      <c r="U17" s="16"/>
      <c r="V17" s="16">
        <f t="shared" si="8"/>
        <v>1169873.41325</v>
      </c>
      <c r="W17" s="16">
        <f t="shared" si="8"/>
        <v>1243524.13231</v>
      </c>
      <c r="X17" s="16">
        <f t="shared" si="9"/>
        <v>-73650.719060000032</v>
      </c>
      <c r="Y17" s="16">
        <f t="shared" si="10"/>
        <v>-5.9227414367250519</v>
      </c>
    </row>
    <row r="18" spans="1:25" s="18" customFormat="1" ht="15" customHeight="1" x14ac:dyDescent="0.2">
      <c r="A18" s="19" t="s">
        <v>16</v>
      </c>
      <c r="B18" s="16">
        <f>[2]FP!U11</f>
        <v>3243.70777</v>
      </c>
      <c r="C18" s="16">
        <f>[3]REG9!B18</f>
        <v>1396.8187199999998</v>
      </c>
      <c r="D18" s="16">
        <f t="shared" si="0"/>
        <v>1846.8890500000002</v>
      </c>
      <c r="E18" s="16">
        <f t="shared" si="1"/>
        <v>132.2210980963944</v>
      </c>
      <c r="F18" s="16"/>
      <c r="G18" s="16">
        <f>[4]FP!U11</f>
        <v>384.70793000000003</v>
      </c>
      <c r="H18" s="16">
        <f>[3]REG9!G18</f>
        <v>242.25137000000001</v>
      </c>
      <c r="I18" s="16">
        <f t="shared" si="2"/>
        <v>142.45656000000002</v>
      </c>
      <c r="J18" s="16">
        <f t="shared" si="3"/>
        <v>58.805264960937073</v>
      </c>
      <c r="K18" s="16"/>
      <c r="L18" s="16">
        <f>[5]FP!U11</f>
        <v>0</v>
      </c>
      <c r="M18" s="17">
        <f>[3]REG9!L18</f>
        <v>0</v>
      </c>
      <c r="N18" s="17">
        <f t="shared" si="4"/>
        <v>0</v>
      </c>
      <c r="O18" s="17"/>
      <c r="P18" s="16"/>
      <c r="Q18" s="16">
        <f>[6]FP!U11</f>
        <v>0</v>
      </c>
      <c r="R18" s="16">
        <f>[3]REG9!Q18</f>
        <v>3.0080000000000003E-2</v>
      </c>
      <c r="S18" s="16">
        <f t="shared" si="6"/>
        <v>-3.0080000000000003E-2</v>
      </c>
      <c r="T18" s="16">
        <f t="shared" si="7"/>
        <v>-100</v>
      </c>
      <c r="U18" s="16"/>
      <c r="V18" s="16">
        <f t="shared" si="8"/>
        <v>3628.4157</v>
      </c>
      <c r="W18" s="16">
        <f t="shared" si="8"/>
        <v>1639.1001699999997</v>
      </c>
      <c r="X18" s="16">
        <f t="shared" si="9"/>
        <v>1989.3155300000003</v>
      </c>
      <c r="Y18" s="16">
        <f t="shared" si="10"/>
        <v>121.36631832574336</v>
      </c>
    </row>
    <row r="19" spans="1:25" s="18" customFormat="1" ht="15" customHeight="1" x14ac:dyDescent="0.2">
      <c r="A19" s="20" t="s">
        <v>17</v>
      </c>
      <c r="B19" s="16">
        <f>[2]FP!U12</f>
        <v>3733.4015899999995</v>
      </c>
      <c r="C19" s="16">
        <f>[3]REG9!B19</f>
        <v>3403.5148899999999</v>
      </c>
      <c r="D19" s="16">
        <f t="shared" si="0"/>
        <v>329.88669999999956</v>
      </c>
      <c r="E19" s="16">
        <f t="shared" si="1"/>
        <v>9.6925299480620044</v>
      </c>
      <c r="F19" s="16"/>
      <c r="G19" s="16">
        <f>[4]FP!U12</f>
        <v>0</v>
      </c>
      <c r="H19" s="16">
        <f>[3]REG9!G19</f>
        <v>0</v>
      </c>
      <c r="I19" s="16">
        <f t="shared" si="2"/>
        <v>0</v>
      </c>
      <c r="J19" s="16"/>
      <c r="K19" s="16"/>
      <c r="L19" s="16">
        <f>[5]FP!U12</f>
        <v>-4026.2587400000002</v>
      </c>
      <c r="M19" s="17">
        <f>[3]REG9!L19</f>
        <v>0</v>
      </c>
      <c r="N19" s="17">
        <f t="shared" si="4"/>
        <v>-4026.2587400000002</v>
      </c>
      <c r="O19" s="17"/>
      <c r="P19" s="16"/>
      <c r="Q19" s="16">
        <f>[6]FP!U12</f>
        <v>0</v>
      </c>
      <c r="R19" s="16">
        <f>[3]REG9!Q19</f>
        <v>376.77075000000002</v>
      </c>
      <c r="S19" s="16">
        <f t="shared" si="6"/>
        <v>-376.77075000000002</v>
      </c>
      <c r="T19" s="16">
        <f t="shared" si="7"/>
        <v>-100</v>
      </c>
      <c r="U19" s="16"/>
      <c r="V19" s="16">
        <f t="shared" si="8"/>
        <v>-292.85715000000073</v>
      </c>
      <c r="W19" s="16">
        <f t="shared" si="8"/>
        <v>3780.2856400000001</v>
      </c>
      <c r="X19" s="16">
        <f t="shared" si="9"/>
        <v>-4073.1427900000008</v>
      </c>
      <c r="Y19" s="16">
        <f t="shared" si="10"/>
        <v>-107.74695824308137</v>
      </c>
    </row>
    <row r="20" spans="1:25" s="18" customFormat="1" ht="15" customHeight="1" x14ac:dyDescent="0.2">
      <c r="A20" s="19" t="s">
        <v>18</v>
      </c>
      <c r="B20" s="16">
        <f>+B14-B15-B16-B17-B18-B19</f>
        <v>4604568.4628599994</v>
      </c>
      <c r="C20" s="16">
        <f>[3]REG9!B20</f>
        <v>4743840.1439299993</v>
      </c>
      <c r="D20" s="16">
        <f t="shared" si="0"/>
        <v>-139271.68106999993</v>
      </c>
      <c r="E20" s="16">
        <f t="shared" si="1"/>
        <v>-2.9358426263204844</v>
      </c>
      <c r="F20" s="16"/>
      <c r="G20" s="16">
        <f>+G14-G15-G16-G17-G18-G19</f>
        <v>2492993.1939300005</v>
      </c>
      <c r="H20" s="16">
        <f>[3]REG9!G20</f>
        <v>2752596.8510399996</v>
      </c>
      <c r="I20" s="16">
        <f t="shared" si="2"/>
        <v>-259603.6571099991</v>
      </c>
      <c r="J20" s="16">
        <f t="shared" si="3"/>
        <v>-9.4312269888674169</v>
      </c>
      <c r="K20" s="16"/>
      <c r="L20" s="16">
        <f>+L14-L15-L16-L17-L18-L19</f>
        <v>1233405.2023599998</v>
      </c>
      <c r="M20" s="17">
        <f>[3]REG9!L20</f>
        <v>1374062.3250599997</v>
      </c>
      <c r="N20" s="17">
        <f t="shared" si="4"/>
        <v>-140657.12269999995</v>
      </c>
      <c r="O20" s="17">
        <f t="shared" si="5"/>
        <v>-10.236589719018605</v>
      </c>
      <c r="P20" s="16"/>
      <c r="Q20" s="16">
        <f>+Q14-Q15-Q16-Q17-Q18-Q19</f>
        <v>2129535.6033600001</v>
      </c>
      <c r="R20" s="16">
        <f>[3]REG9!Q20</f>
        <v>2315529.1387599995</v>
      </c>
      <c r="S20" s="16">
        <f t="shared" si="6"/>
        <v>-185993.53539999947</v>
      </c>
      <c r="T20" s="16">
        <f t="shared" si="7"/>
        <v>-8.0324420145108508</v>
      </c>
      <c r="U20" s="16"/>
      <c r="V20" s="16">
        <f>+V14-V15-V16-V17-V18-V19</f>
        <v>10460502.462510001</v>
      </c>
      <c r="W20" s="16">
        <f>+W14-W15-W16-W17-W18-W19</f>
        <v>11186028.458790001</v>
      </c>
      <c r="X20" s="16">
        <f t="shared" si="9"/>
        <v>-725525.99627999961</v>
      </c>
      <c r="Y20" s="16">
        <f t="shared" si="10"/>
        <v>-6.4860017025066661</v>
      </c>
    </row>
    <row r="21" spans="1:25" s="18" customFormat="1" ht="15" customHeight="1" x14ac:dyDescent="0.2">
      <c r="A21" s="19" t="s">
        <v>19</v>
      </c>
      <c r="B21" s="16">
        <f>[2]FP!$U$14</f>
        <v>123718.07806000001</v>
      </c>
      <c r="C21" s="16">
        <f>[3]REG9!B21</f>
        <v>121737.92896000002</v>
      </c>
      <c r="D21" s="16">
        <f t="shared" si="0"/>
        <v>1980.1490999999951</v>
      </c>
      <c r="E21" s="16">
        <f t="shared" si="1"/>
        <v>1.6265670994375319</v>
      </c>
      <c r="F21" s="16"/>
      <c r="G21" s="16">
        <f>[4]FP!$U$14</f>
        <v>86447.743820000003</v>
      </c>
      <c r="H21" s="16">
        <f>[3]REG9!G21</f>
        <v>76334.290329999989</v>
      </c>
      <c r="I21" s="16">
        <f t="shared" si="2"/>
        <v>10113.453490000014</v>
      </c>
      <c r="J21" s="16">
        <f t="shared" si="3"/>
        <v>13.248899604985711</v>
      </c>
      <c r="K21" s="16"/>
      <c r="L21" s="16">
        <f>[5]FP!$U$14</f>
        <v>21796.628390000002</v>
      </c>
      <c r="M21" s="17">
        <f>[3]REG9!L21</f>
        <v>24838.76929</v>
      </c>
      <c r="N21" s="17">
        <f t="shared" si="4"/>
        <v>-3042.1408999999985</v>
      </c>
      <c r="O21" s="17">
        <f t="shared" si="5"/>
        <v>-12.247550852790253</v>
      </c>
      <c r="P21" s="16"/>
      <c r="Q21" s="16">
        <f>[6]FP!$U$14</f>
        <v>44838.427250000001</v>
      </c>
      <c r="R21" s="16">
        <f>[3]REG9!Q21</f>
        <v>42924.516470000002</v>
      </c>
      <c r="S21" s="16">
        <f t="shared" si="6"/>
        <v>1913.9107799999983</v>
      </c>
      <c r="T21" s="16">
        <f t="shared" si="7"/>
        <v>4.4587823868386094</v>
      </c>
      <c r="U21" s="16"/>
      <c r="V21" s="16">
        <f>+B21+G21+L21+Q21</f>
        <v>276800.87751999998</v>
      </c>
      <c r="W21" s="16">
        <f>+C21+H21+M21+R21</f>
        <v>265835.50505000004</v>
      </c>
      <c r="X21" s="16">
        <f t="shared" si="9"/>
        <v>10965.372469999944</v>
      </c>
      <c r="Y21" s="16">
        <f t="shared" si="10"/>
        <v>4.1248713063883269</v>
      </c>
    </row>
    <row r="22" spans="1:25" s="18" customFormat="1" ht="15" customHeight="1" x14ac:dyDescent="0.2">
      <c r="A22" s="19" t="s">
        <v>20</v>
      </c>
      <c r="B22" s="16">
        <f>+B20+B21</f>
        <v>4728286.5409199996</v>
      </c>
      <c r="C22" s="16">
        <f>[3]REG9!B22</f>
        <v>4865578.0728899995</v>
      </c>
      <c r="D22" s="16">
        <f t="shared" si="0"/>
        <v>-137291.53196999989</v>
      </c>
      <c r="E22" s="16">
        <f t="shared" si="1"/>
        <v>-2.8216900420313893</v>
      </c>
      <c r="F22" s="16"/>
      <c r="G22" s="16">
        <f>+G20+G21</f>
        <v>2579440.9377500005</v>
      </c>
      <c r="H22" s="16">
        <f>[3]REG9!G22</f>
        <v>2828931.1413699994</v>
      </c>
      <c r="I22" s="16">
        <f t="shared" si="2"/>
        <v>-249490.20361999888</v>
      </c>
      <c r="J22" s="16">
        <f t="shared" si="3"/>
        <v>-8.8192391808863668</v>
      </c>
      <c r="K22" s="16"/>
      <c r="L22" s="16">
        <f>+L20+L21</f>
        <v>1255201.8307499997</v>
      </c>
      <c r="M22" s="17">
        <f>[3]REG9!L22</f>
        <v>1398901.0943499997</v>
      </c>
      <c r="N22" s="17">
        <f t="shared" si="4"/>
        <v>-143699.26359999995</v>
      </c>
      <c r="O22" s="17">
        <f t="shared" si="5"/>
        <v>-10.272296174503309</v>
      </c>
      <c r="P22" s="16"/>
      <c r="Q22" s="16">
        <f>+Q20+Q21</f>
        <v>2174374.0306100002</v>
      </c>
      <c r="R22" s="16">
        <f>[3]REG9!Q22</f>
        <v>2358453.6552299997</v>
      </c>
      <c r="S22" s="16">
        <f t="shared" si="6"/>
        <v>-184079.62461999943</v>
      </c>
      <c r="T22" s="16">
        <f t="shared" si="7"/>
        <v>-7.8050982350996305</v>
      </c>
      <c r="U22" s="16"/>
      <c r="V22" s="16">
        <f>+V20+V21</f>
        <v>10737303.340030001</v>
      </c>
      <c r="W22" s="16">
        <f>+W20+W21</f>
        <v>11451863.96384</v>
      </c>
      <c r="X22" s="16">
        <f t="shared" si="9"/>
        <v>-714560.62380999885</v>
      </c>
      <c r="Y22" s="16">
        <f t="shared" si="10"/>
        <v>-6.2396883692145675</v>
      </c>
    </row>
    <row r="23" spans="1:25" s="18" customFormat="1" ht="15" customHeight="1" x14ac:dyDescent="0.2">
      <c r="A23" s="19" t="s">
        <v>21</v>
      </c>
      <c r="B23" s="16">
        <f>[2]FP!$U$16</f>
        <v>4858231.7350300001</v>
      </c>
      <c r="C23" s="16">
        <f>[3]REG9!B23</f>
        <v>4798235.6517900005</v>
      </c>
      <c r="D23" s="16">
        <f t="shared" si="0"/>
        <v>59996.0832399996</v>
      </c>
      <c r="E23" s="16">
        <f t="shared" si="1"/>
        <v>1.25037800545744</v>
      </c>
      <c r="F23" s="16"/>
      <c r="G23" s="16">
        <f>[4]FP!$U$16</f>
        <v>2195156.12322</v>
      </c>
      <c r="H23" s="16">
        <f>[3]REG9!G23</f>
        <v>2414064.0444499999</v>
      </c>
      <c r="I23" s="16">
        <f t="shared" si="2"/>
        <v>-218907.92122999998</v>
      </c>
      <c r="J23" s="16">
        <f t="shared" si="3"/>
        <v>-9.0680245925237717</v>
      </c>
      <c r="K23" s="16"/>
      <c r="L23" s="16">
        <f>[5]FP!$U$16</f>
        <v>1105252.7076900001</v>
      </c>
      <c r="M23" s="17">
        <f>[3]REG9!L23</f>
        <v>1271206.11635</v>
      </c>
      <c r="N23" s="17">
        <f t="shared" si="4"/>
        <v>-165953.40865999996</v>
      </c>
      <c r="O23" s="17">
        <f t="shared" si="5"/>
        <v>-13.054799416517923</v>
      </c>
      <c r="P23" s="16"/>
      <c r="Q23" s="16">
        <f>[6]FP!$U$16</f>
        <v>1826235.6297099998</v>
      </c>
      <c r="R23" s="16">
        <f>[3]REG9!Q23</f>
        <v>1989115.0355699998</v>
      </c>
      <c r="S23" s="16">
        <f t="shared" si="6"/>
        <v>-162879.40586000006</v>
      </c>
      <c r="T23" s="16">
        <f t="shared" si="7"/>
        <v>-8.1885362559398391</v>
      </c>
      <c r="U23" s="16"/>
      <c r="V23" s="16">
        <f>+B23+G23+L23+Q23</f>
        <v>9984876.1956500001</v>
      </c>
      <c r="W23" s="16">
        <f>+C23+H23+M23+R23</f>
        <v>10472620.848160001</v>
      </c>
      <c r="X23" s="16">
        <f t="shared" si="9"/>
        <v>-487744.65251000039</v>
      </c>
      <c r="Y23" s="16">
        <f t="shared" si="10"/>
        <v>-4.6573313364600164</v>
      </c>
    </row>
    <row r="24" spans="1:25" s="18" customFormat="1" ht="15" customHeight="1" x14ac:dyDescent="0.2">
      <c r="A24" s="19" t="s">
        <v>22</v>
      </c>
      <c r="B24" s="16">
        <f>ROUND((B23/B22*100),0)</f>
        <v>103</v>
      </c>
      <c r="C24" s="16">
        <f>[3]REG9!B24</f>
        <v>99</v>
      </c>
      <c r="D24" s="21" t="s">
        <v>23</v>
      </c>
      <c r="E24" s="16">
        <f>B24-C24</f>
        <v>4</v>
      </c>
      <c r="F24" s="16"/>
      <c r="G24" s="16">
        <f>ROUND((G23/G22*100),0)</f>
        <v>85</v>
      </c>
      <c r="H24" s="16">
        <f>[3]REG9!G24</f>
        <v>85</v>
      </c>
      <c r="I24" s="21" t="s">
        <v>23</v>
      </c>
      <c r="J24" s="16">
        <f>G24-H24</f>
        <v>0</v>
      </c>
      <c r="K24" s="16"/>
      <c r="L24" s="16">
        <f>ROUND((L23/L22*100),0)</f>
        <v>88</v>
      </c>
      <c r="M24" s="17">
        <f>[3]REG9!L24</f>
        <v>91</v>
      </c>
      <c r="N24" s="22" t="s">
        <v>23</v>
      </c>
      <c r="O24" s="17">
        <f>L24-M24</f>
        <v>-3</v>
      </c>
      <c r="P24" s="16"/>
      <c r="Q24" s="16">
        <f>ROUND((Q23/Q22*100),0)</f>
        <v>84</v>
      </c>
      <c r="R24" s="16">
        <f>[3]REG9!Q24</f>
        <v>84</v>
      </c>
      <c r="S24" s="21" t="s">
        <v>23</v>
      </c>
      <c r="T24" s="16">
        <f>Q24-R24</f>
        <v>0</v>
      </c>
      <c r="U24" s="16"/>
      <c r="V24" s="16">
        <f>ROUND((V23/V22*100),0)</f>
        <v>93</v>
      </c>
      <c r="W24" s="16">
        <f>ROUND((W23/W22*100),0)</f>
        <v>91</v>
      </c>
      <c r="X24" s="21" t="s">
        <v>23</v>
      </c>
      <c r="Y24" s="16">
        <f>V24-W24</f>
        <v>2</v>
      </c>
    </row>
    <row r="25" spans="1:25" s="18" customFormat="1" ht="15" customHeight="1" x14ac:dyDescent="0.2">
      <c r="A25" s="19" t="s">
        <v>24</v>
      </c>
      <c r="B25" s="16">
        <f>[2]FP!$U$18</f>
        <v>349708.68949000002</v>
      </c>
      <c r="C25" s="16">
        <f>[3]REG9!B25</f>
        <v>337424.38496</v>
      </c>
      <c r="D25" s="16">
        <f>B25-C25</f>
        <v>12284.304530000023</v>
      </c>
      <c r="E25" s="16">
        <f>D25/C25*100</f>
        <v>3.6406095936001388</v>
      </c>
      <c r="F25" s="16"/>
      <c r="G25" s="16">
        <f>[4]FP!$U$18</f>
        <v>236149.14445000002</v>
      </c>
      <c r="H25" s="16">
        <f>[3]REG9!G25</f>
        <v>278888.71888</v>
      </c>
      <c r="I25" s="16">
        <f>G25-H25</f>
        <v>-42739.574429999979</v>
      </c>
      <c r="J25" s="16">
        <f>I25/H25*100</f>
        <v>-15.3249563487686</v>
      </c>
      <c r="K25" s="16"/>
      <c r="L25" s="16">
        <f>[5]FP!$U$18</f>
        <v>101516.76240000001</v>
      </c>
      <c r="M25" s="17">
        <f>[3]REG9!L25</f>
        <v>102661.92623</v>
      </c>
      <c r="N25" s="17">
        <f>L25-M25</f>
        <v>-1145.1638299999904</v>
      </c>
      <c r="O25" s="17">
        <f>N25/M25*100</f>
        <v>-1.1154708196633751</v>
      </c>
      <c r="P25" s="16"/>
      <c r="Q25" s="16">
        <f>[6]FP!$U$18</f>
        <v>306784.72388000001</v>
      </c>
      <c r="R25" s="16">
        <f>[3]REG9!Q25</f>
        <v>287212.77020000003</v>
      </c>
      <c r="S25" s="16">
        <f>Q25-R25</f>
        <v>19571.953679999977</v>
      </c>
      <c r="T25" s="16">
        <f>S25/R25*100</f>
        <v>6.8144441023186699</v>
      </c>
      <c r="U25" s="16"/>
      <c r="V25" s="16">
        <f>+B25+G25+L25+Q25</f>
        <v>994159.32022000011</v>
      </c>
      <c r="W25" s="16">
        <f>+C25+H25+M25+R25</f>
        <v>1006187.80027</v>
      </c>
      <c r="X25" s="16">
        <f>V25-W25</f>
        <v>-12028.480049999896</v>
      </c>
      <c r="Y25" s="16">
        <f>X25/W25*100</f>
        <v>-1.1954507942525421</v>
      </c>
    </row>
    <row r="26" spans="1:25" s="18" customFormat="1" ht="15" customHeight="1" x14ac:dyDescent="0.2">
      <c r="A26" s="19" t="s">
        <v>22</v>
      </c>
      <c r="B26" s="16">
        <f>ROUND((B25/B22*100),0)</f>
        <v>7</v>
      </c>
      <c r="C26" s="16">
        <f>[3]REG9!B26</f>
        <v>7</v>
      </c>
      <c r="D26" s="16"/>
      <c r="E26" s="16">
        <f>B26-C26</f>
        <v>0</v>
      </c>
      <c r="F26" s="16"/>
      <c r="G26" s="16">
        <f>ROUND((G25/G22*100),0)</f>
        <v>9</v>
      </c>
      <c r="H26" s="16">
        <f>[3]REG9!G26</f>
        <v>10</v>
      </c>
      <c r="I26" s="16"/>
      <c r="J26" s="16">
        <f>G26-H26</f>
        <v>-1</v>
      </c>
      <c r="K26" s="16"/>
      <c r="L26" s="16">
        <f>ROUND((L25/L22*100),0)</f>
        <v>8</v>
      </c>
      <c r="M26" s="17">
        <f>[3]REG9!L26</f>
        <v>7</v>
      </c>
      <c r="N26" s="17"/>
      <c r="O26" s="17">
        <f>L26-M26</f>
        <v>1</v>
      </c>
      <c r="P26" s="16"/>
      <c r="Q26" s="16">
        <f>ROUND((Q25/Q22*100),0)</f>
        <v>14</v>
      </c>
      <c r="R26" s="16">
        <f>[3]REG9!Q26</f>
        <v>12</v>
      </c>
      <c r="S26" s="16"/>
      <c r="T26" s="16">
        <f>Q26-R26</f>
        <v>2</v>
      </c>
      <c r="U26" s="16"/>
      <c r="V26" s="16">
        <f>ROUND((V25/V22*100),0)</f>
        <v>9</v>
      </c>
      <c r="W26" s="16">
        <f>ROUND((W25/W22*100),0)</f>
        <v>9</v>
      </c>
      <c r="X26" s="16"/>
      <c r="Y26" s="16">
        <f>V26-W26</f>
        <v>0</v>
      </c>
    </row>
    <row r="27" spans="1:25" s="18" customFormat="1" ht="15" customHeight="1" x14ac:dyDescent="0.2">
      <c r="A27" s="19" t="s">
        <v>25</v>
      </c>
      <c r="B27" s="16">
        <f>+B22-B23-B25</f>
        <v>-479653.88360000052</v>
      </c>
      <c r="C27" s="16">
        <f>[3]REG9!B27</f>
        <v>-270081.96386000101</v>
      </c>
      <c r="D27" s="16">
        <f>B27-C27</f>
        <v>-209571.91973999952</v>
      </c>
      <c r="E27" s="16">
        <f>D27/C27*100</f>
        <v>77.595673826125122</v>
      </c>
      <c r="F27" s="16"/>
      <c r="G27" s="16">
        <f>+G22-G23-G25</f>
        <v>148135.67008000053</v>
      </c>
      <c r="H27" s="16">
        <f>[3]REG9!G27</f>
        <v>135978.37803999946</v>
      </c>
      <c r="I27" s="16">
        <f>G27-H27</f>
        <v>12157.292040001077</v>
      </c>
      <c r="J27" s="16">
        <f>I27/H27*100</f>
        <v>8.9406067458937351</v>
      </c>
      <c r="K27" s="16"/>
      <c r="L27" s="16">
        <f>+L22-L23-L25</f>
        <v>48432.360659999656</v>
      </c>
      <c r="M27" s="17">
        <f>[3]REG9!L27</f>
        <v>25033.051769999656</v>
      </c>
      <c r="N27" s="17">
        <f>L27-M27</f>
        <v>23399.30889</v>
      </c>
      <c r="O27" s="17">
        <f>N27/M27*100</f>
        <v>93.473656767819335</v>
      </c>
      <c r="P27" s="16"/>
      <c r="Q27" s="16">
        <f>+Q22-Q23-Q25</f>
        <v>41353.677020000468</v>
      </c>
      <c r="R27" s="16">
        <f>[3]REG9!Q27</f>
        <v>82125.849459999823</v>
      </c>
      <c r="S27" s="16">
        <f>Q27-R27</f>
        <v>-40772.172439999355</v>
      </c>
      <c r="T27" s="16">
        <f>S27/R27*100</f>
        <v>-49.64596738796331</v>
      </c>
      <c r="U27" s="16"/>
      <c r="V27" s="16">
        <f>+V22-V23-V25</f>
        <v>-241732.17583999876</v>
      </c>
      <c r="W27" s="16">
        <f>+W22-W23-W25</f>
        <v>-26944.684590000194</v>
      </c>
      <c r="X27" s="16">
        <f>V27-W27</f>
        <v>-214787.49124999857</v>
      </c>
      <c r="Y27" s="16">
        <f>X27/W27*100</f>
        <v>797.14234743616657</v>
      </c>
    </row>
    <row r="28" spans="1:25" s="18" customFormat="1" ht="15" customHeight="1" x14ac:dyDescent="0.2">
      <c r="A28" s="19" t="s">
        <v>26</v>
      </c>
      <c r="B28" s="16">
        <f>[2]FP!U21</f>
        <v>84369.043379999988</v>
      </c>
      <c r="C28" s="16">
        <f>[3]REG9!B28</f>
        <v>82655.968710000001</v>
      </c>
      <c r="D28" s="16">
        <f>B28-C28</f>
        <v>1713.0746699999872</v>
      </c>
      <c r="E28" s="16">
        <f>D28/C28*100</f>
        <v>2.0725359544334196</v>
      </c>
      <c r="F28" s="16"/>
      <c r="G28" s="16">
        <f>[4]FP!U21</f>
        <v>84319.061159999997</v>
      </c>
      <c r="H28" s="16">
        <f>[3]REG9!G28</f>
        <v>111822.82795000001</v>
      </c>
      <c r="I28" s="16">
        <f>G28-H28</f>
        <v>-27503.766790000009</v>
      </c>
      <c r="J28" s="16">
        <f>I28/H28*100</f>
        <v>-24.595842632684921</v>
      </c>
      <c r="K28" s="16"/>
      <c r="L28" s="16">
        <f>[5]FP!U21</f>
        <v>24103.557059999999</v>
      </c>
      <c r="M28" s="17">
        <f>[3]REG9!L28</f>
        <v>18009.108139999997</v>
      </c>
      <c r="N28" s="17">
        <f>L28-M28</f>
        <v>6094.4489200000025</v>
      </c>
      <c r="O28" s="17">
        <f>N28/M28*100</f>
        <v>33.840925783901724</v>
      </c>
      <c r="P28" s="16"/>
      <c r="Q28" s="16">
        <f>[6]FP!U21</f>
        <v>61620.79806999999</v>
      </c>
      <c r="R28" s="16">
        <f>[3]REG9!Q28</f>
        <v>58648.16419000001</v>
      </c>
      <c r="S28" s="16">
        <f>Q28-R28</f>
        <v>2972.6338799999794</v>
      </c>
      <c r="T28" s="16">
        <f>S28/R28*100</f>
        <v>5.068588115340936</v>
      </c>
      <c r="U28" s="16"/>
      <c r="V28" s="16">
        <f>+B28+G28+L28+Q28</f>
        <v>254412.45966999995</v>
      </c>
      <c r="W28" s="16">
        <f>+C28+H28+M28+R28</f>
        <v>271136.06899</v>
      </c>
      <c r="X28" s="16">
        <f>V28-W28</f>
        <v>-16723.609320000047</v>
      </c>
      <c r="Y28" s="16">
        <f>X28/W28*100</f>
        <v>-6.1679766112626071</v>
      </c>
    </row>
    <row r="29" spans="1:25" s="18" customFormat="1" ht="15" customHeight="1" x14ac:dyDescent="0.2">
      <c r="A29" s="19" t="s">
        <v>27</v>
      </c>
      <c r="B29" s="16">
        <f>[2]FP!U22</f>
        <v>-198.40929000000006</v>
      </c>
      <c r="C29" s="16">
        <f>[3]REG9!B29</f>
        <v>6681.6910599999992</v>
      </c>
      <c r="D29" s="16">
        <f>B29-C29</f>
        <v>-6880.1003499999988</v>
      </c>
      <c r="E29" s="16">
        <f>D29/C29*100</f>
        <v>-102.9694472285284</v>
      </c>
      <c r="F29" s="16"/>
      <c r="G29" s="16">
        <f>[4]FP!U22</f>
        <v>2176.6483500000004</v>
      </c>
      <c r="H29" s="16">
        <f>[3]REG9!G29</f>
        <v>2597.7060000000001</v>
      </c>
      <c r="I29" s="16">
        <f>G29-H29</f>
        <v>-421.05764999999974</v>
      </c>
      <c r="J29" s="16">
        <f>I29/H29*100</f>
        <v>-16.208826172014838</v>
      </c>
      <c r="K29" s="16"/>
      <c r="L29" s="16">
        <f>[5]FP!U22</f>
        <v>13767.987799999999</v>
      </c>
      <c r="M29" s="17">
        <f>[3]REG9!L29</f>
        <v>14446.936659999999</v>
      </c>
      <c r="N29" s="17">
        <f>L29-M29</f>
        <v>-678.94886000000042</v>
      </c>
      <c r="O29" s="17">
        <f>N29/M29*100</f>
        <v>-4.6996043242844845</v>
      </c>
      <c r="P29" s="16"/>
      <c r="Q29" s="16">
        <f>[6]FP!U22</f>
        <v>25086.13942</v>
      </c>
      <c r="R29" s="16">
        <f>[3]REG9!Q29</f>
        <v>22626.93691</v>
      </c>
      <c r="S29" s="16">
        <f>Q29-R29</f>
        <v>2459.2025099999992</v>
      </c>
      <c r="T29" s="16">
        <f>S29/R29*100</f>
        <v>10.868472916955684</v>
      </c>
      <c r="U29" s="16"/>
      <c r="V29" s="16">
        <f>+B29+G29+L29+Q29</f>
        <v>40832.366280000002</v>
      </c>
      <c r="W29" s="16">
        <f>+C29+H29+M29+R29</f>
        <v>46353.270629999999</v>
      </c>
      <c r="X29" s="16">
        <f>V29-W29</f>
        <v>-5520.9043499999971</v>
      </c>
      <c r="Y29" s="16">
        <f>X29/W29*100</f>
        <v>-11.910495796658733</v>
      </c>
    </row>
    <row r="30" spans="1:25" s="18" customFormat="1" ht="15" customHeight="1" x14ac:dyDescent="0.2">
      <c r="A30" s="19" t="s">
        <v>28</v>
      </c>
      <c r="B30" s="16">
        <f>+B27-B28-B29</f>
        <v>-563824.51769000047</v>
      </c>
      <c r="C30" s="16">
        <f>[3]REG9!B30</f>
        <v>-359419.62363000098</v>
      </c>
      <c r="D30" s="16">
        <f>B30-C30</f>
        <v>-204404.8940599995</v>
      </c>
      <c r="E30" s="16">
        <f>D30/C30*100</f>
        <v>56.870821908828496</v>
      </c>
      <c r="F30" s="16"/>
      <c r="G30" s="16">
        <f>+G27-G28-G29</f>
        <v>61639.960570000534</v>
      </c>
      <c r="H30" s="16">
        <f>[3]REG9!G30</f>
        <v>21557.844089999453</v>
      </c>
      <c r="I30" s="16">
        <f>G30-H30</f>
        <v>40082.116480001081</v>
      </c>
      <c r="J30" s="16">
        <f>I30/H30*100</f>
        <v>185.92822321502419</v>
      </c>
      <c r="K30" s="16"/>
      <c r="L30" s="16">
        <f>+L27-L28-L29</f>
        <v>10560.815799999658</v>
      </c>
      <c r="M30" s="17">
        <f>[3]REG9!L30</f>
        <v>-7422.9930300003398</v>
      </c>
      <c r="N30" s="17">
        <f>L30-M30</f>
        <v>17983.808829999998</v>
      </c>
      <c r="O30" s="17">
        <f>N30/M30*100</f>
        <v>-242.27166531502422</v>
      </c>
      <c r="P30" s="16"/>
      <c r="Q30" s="16">
        <f>+Q27-Q28-Q29</f>
        <v>-45353.260469999521</v>
      </c>
      <c r="R30" s="16">
        <f>[3]REG9!Q30</f>
        <v>850.74835999981224</v>
      </c>
      <c r="S30" s="16">
        <f>Q30-R30</f>
        <v>-46204.008829999337</v>
      </c>
      <c r="T30" s="16">
        <f>S30/R30*100</f>
        <v>-5430.9841784484352</v>
      </c>
      <c r="U30" s="16"/>
      <c r="V30" s="16">
        <f>+V27-V28-V29</f>
        <v>-536977.00178999873</v>
      </c>
      <c r="W30" s="16">
        <f>+W27-W28-W29</f>
        <v>-344434.02421000018</v>
      </c>
      <c r="X30" s="16">
        <f>V30-W30</f>
        <v>-192542.97757999855</v>
      </c>
      <c r="Y30" s="16">
        <f>X30/W30*100</f>
        <v>55.901265277615487</v>
      </c>
    </row>
    <row r="31" spans="1:25" s="18" customFormat="1" ht="15" customHeight="1" x14ac:dyDescent="0.2">
      <c r="A31" s="19" t="s">
        <v>22</v>
      </c>
      <c r="B31" s="16">
        <f>ROUND((B30/B22*100),0)</f>
        <v>-12</v>
      </c>
      <c r="C31" s="16">
        <f>[3]REG9!B31</f>
        <v>-7</v>
      </c>
      <c r="D31" s="16"/>
      <c r="E31" s="16">
        <f>B31-C31</f>
        <v>-5</v>
      </c>
      <c r="F31" s="16"/>
      <c r="G31" s="16">
        <f>ROUND((G30/G22*100),0)</f>
        <v>2</v>
      </c>
      <c r="H31" s="16">
        <f>[3]REG9!G31</f>
        <v>1</v>
      </c>
      <c r="I31" s="16"/>
      <c r="J31" s="16">
        <f>G31-H31</f>
        <v>1</v>
      </c>
      <c r="K31" s="16"/>
      <c r="L31" s="16">
        <f>ROUND((L30/L22*100),0)</f>
        <v>1</v>
      </c>
      <c r="M31" s="17">
        <f>[3]REG9!L31</f>
        <v>-1</v>
      </c>
      <c r="N31" s="17"/>
      <c r="O31" s="17">
        <f>L31-M31</f>
        <v>2</v>
      </c>
      <c r="P31" s="16"/>
      <c r="Q31" s="16">
        <f>ROUND((Q30/Q22*100),0)</f>
        <v>-2</v>
      </c>
      <c r="R31" s="16">
        <f>[3]REG9!Q31</f>
        <v>0</v>
      </c>
      <c r="S31" s="16"/>
      <c r="T31" s="16">
        <f>Q31-R31</f>
        <v>-2</v>
      </c>
      <c r="U31" s="16"/>
      <c r="V31" s="16">
        <f>ROUND((V30/V22*100),0)</f>
        <v>-5</v>
      </c>
      <c r="W31" s="16">
        <f>ROUND((W30/W22*100),0)</f>
        <v>-3</v>
      </c>
      <c r="X31" s="16"/>
      <c r="Y31" s="16">
        <f>V31-W31</f>
        <v>-2</v>
      </c>
    </row>
    <row r="32" spans="1:25" s="18" customFormat="1" ht="15" customHeight="1" x14ac:dyDescent="0.2">
      <c r="A32" s="19" t="s">
        <v>29</v>
      </c>
      <c r="B32" s="16">
        <f>[2]FP!$U$25</f>
        <v>660.57216999999991</v>
      </c>
      <c r="C32" s="16">
        <f>[3]REG9!B32</f>
        <v>683.58239000000003</v>
      </c>
      <c r="D32" s="16">
        <f>B32-C32</f>
        <v>-23.010220000000118</v>
      </c>
      <c r="E32" s="16">
        <f>D32/C32*100</f>
        <v>-3.3661224069859546</v>
      </c>
      <c r="F32" s="16"/>
      <c r="G32" s="16">
        <f>[4]FP!$U$25</f>
        <v>15409.98941</v>
      </c>
      <c r="H32" s="16">
        <f>[3]REG9!G32</f>
        <v>4812.5217100000009</v>
      </c>
      <c r="I32" s="16">
        <f>G32-H32</f>
        <v>10597.467699999999</v>
      </c>
      <c r="J32" s="16">
        <f>I32/H32*100</f>
        <v>220.2061276519415</v>
      </c>
      <c r="K32" s="16"/>
      <c r="L32" s="16">
        <f>[5]FP!$U$25</f>
        <v>166.24923999999999</v>
      </c>
      <c r="M32" s="17">
        <f>[3]REG9!L32</f>
        <v>234.92749999999998</v>
      </c>
      <c r="N32" s="17">
        <f>L32-M32</f>
        <v>-68.678259999999995</v>
      </c>
      <c r="O32" s="17">
        <f>N32/M32*100</f>
        <v>-29.233810430877611</v>
      </c>
      <c r="P32" s="16"/>
      <c r="Q32" s="16">
        <f>[6]FP!$U$25</f>
        <v>1013.99216</v>
      </c>
      <c r="R32" s="16">
        <f>[3]REG9!Q32</f>
        <v>720.40391999999997</v>
      </c>
      <c r="S32" s="16">
        <f>Q32-R32</f>
        <v>293.58824000000004</v>
      </c>
      <c r="T32" s="16">
        <f>S32/R32*100</f>
        <v>40.753281853324737</v>
      </c>
      <c r="U32" s="16"/>
      <c r="V32" s="16">
        <f>+B32+G32+L32+Q32</f>
        <v>17250.80298</v>
      </c>
      <c r="W32" s="16">
        <f>+C32+H32+M32+R32</f>
        <v>6451.43552</v>
      </c>
      <c r="X32" s="16">
        <f>V32-W32</f>
        <v>10799.367460000001</v>
      </c>
      <c r="Y32" s="16">
        <f>X32/W32*100</f>
        <v>167.39479804953552</v>
      </c>
    </row>
    <row r="33" spans="1:25" s="18" customFormat="1" ht="15" customHeight="1" x14ac:dyDescent="0.2">
      <c r="A33" s="19" t="s">
        <v>30</v>
      </c>
      <c r="B33" s="16">
        <f>+B30-B32</f>
        <v>-564485.08986000053</v>
      </c>
      <c r="C33" s="16">
        <f>[3]REG9!B33</f>
        <v>-360103.20602000097</v>
      </c>
      <c r="D33" s="16">
        <f>B33-C33</f>
        <v>-204381.88383999956</v>
      </c>
      <c r="E33" s="16">
        <f>D33/C33*100</f>
        <v>56.756474372696289</v>
      </c>
      <c r="F33" s="16"/>
      <c r="G33" s="16">
        <f>+G30-G32</f>
        <v>46229.971160000532</v>
      </c>
      <c r="H33" s="16">
        <f>[3]REG9!G33</f>
        <v>16745.322379999452</v>
      </c>
      <c r="I33" s="16">
        <f>G33-H33</f>
        <v>29484.64878000108</v>
      </c>
      <c r="J33" s="16">
        <f>I33/H33*100</f>
        <v>176.07692531030295</v>
      </c>
      <c r="K33" s="16"/>
      <c r="L33" s="16">
        <f>+L30-L32</f>
        <v>10394.566559999659</v>
      </c>
      <c r="M33" s="17">
        <f>[3]REG9!L33</f>
        <v>-7657.9205300003396</v>
      </c>
      <c r="N33" s="17">
        <f>L33-M33</f>
        <v>18052.487089999999</v>
      </c>
      <c r="O33" s="17">
        <f>N33/M33*100</f>
        <v>-235.73615081637831</v>
      </c>
      <c r="P33" s="16"/>
      <c r="Q33" s="16">
        <f>+Q30-Q32</f>
        <v>-46367.252629999522</v>
      </c>
      <c r="R33" s="16">
        <f>[3]REG9!Q33</f>
        <v>130.34443999981227</v>
      </c>
      <c r="S33" s="16">
        <f>Q33-R33</f>
        <v>-46497.597069999334</v>
      </c>
      <c r="T33" s="16">
        <f>S33/R33*100</f>
        <v>-35672.865731799764</v>
      </c>
      <c r="U33" s="16"/>
      <c r="V33" s="16">
        <f>+V30-V32</f>
        <v>-554227.80476999877</v>
      </c>
      <c r="W33" s="16">
        <f>+W30-W32</f>
        <v>-350885.45973000018</v>
      </c>
      <c r="X33" s="16">
        <f>V33-W33</f>
        <v>-203342.34503999859</v>
      </c>
      <c r="Y33" s="16">
        <f>X33/W33*100</f>
        <v>57.951202992699315</v>
      </c>
    </row>
    <row r="34" spans="1:25" s="18" customFormat="1" ht="15" customHeight="1" x14ac:dyDescent="0.2">
      <c r="A34" s="19" t="s">
        <v>22</v>
      </c>
      <c r="B34" s="16">
        <f>ROUND((B33/B22*100),0)</f>
        <v>-12</v>
      </c>
      <c r="C34" s="16">
        <f>[3]REG9!B34</f>
        <v>-7</v>
      </c>
      <c r="D34" s="16"/>
      <c r="E34" s="16">
        <f>B34-C34</f>
        <v>-5</v>
      </c>
      <c r="F34" s="16"/>
      <c r="G34" s="16">
        <f>ROUND((G33/G22*100),0)</f>
        <v>2</v>
      </c>
      <c r="H34" s="16">
        <f>[3]REG9!G34</f>
        <v>1</v>
      </c>
      <c r="I34" s="16"/>
      <c r="J34" s="16">
        <f>G34-H34</f>
        <v>1</v>
      </c>
      <c r="K34" s="16"/>
      <c r="L34" s="16">
        <f>ROUND((L33/L22*100),0)</f>
        <v>1</v>
      </c>
      <c r="M34" s="17">
        <f>[3]REG9!L34</f>
        <v>-1</v>
      </c>
      <c r="N34" s="17"/>
      <c r="O34" s="17">
        <f>L34-M34</f>
        <v>2</v>
      </c>
      <c r="P34" s="16"/>
      <c r="Q34" s="16">
        <f>ROUND((Q33/Q22*100),0)</f>
        <v>-2</v>
      </c>
      <c r="R34" s="16">
        <f>[3]REG9!Q34</f>
        <v>0</v>
      </c>
      <c r="S34" s="16"/>
      <c r="T34" s="16">
        <f>Q34-R34</f>
        <v>-2</v>
      </c>
      <c r="U34" s="16"/>
      <c r="V34" s="16">
        <f>ROUND((V33/V22*100),0)</f>
        <v>-5</v>
      </c>
      <c r="W34" s="16">
        <f>ROUND((W33/W22*100),0)</f>
        <v>-3</v>
      </c>
      <c r="X34" s="16"/>
      <c r="Y34" s="16">
        <f>V34-W34</f>
        <v>-2</v>
      </c>
    </row>
    <row r="35" spans="1:25" s="18" customFormat="1" hidden="1" x14ac:dyDescent="0.2">
      <c r="B35" s="23">
        <f>B33+B15</f>
        <v>-485659.86090000055</v>
      </c>
      <c r="C35" s="23"/>
      <c r="D35" s="16"/>
      <c r="E35" s="16"/>
      <c r="F35" s="16"/>
      <c r="G35" s="23">
        <f>G33+G15</f>
        <v>114130.96802000052</v>
      </c>
      <c r="H35" s="23"/>
      <c r="I35" s="16"/>
      <c r="J35" s="16"/>
      <c r="K35" s="16"/>
      <c r="L35" s="23">
        <f>L33+L15</f>
        <v>52527.206629999651</v>
      </c>
      <c r="M35" s="24"/>
      <c r="N35" s="17"/>
      <c r="O35" s="17"/>
      <c r="P35" s="16"/>
      <c r="Q35" s="23">
        <f>Q33+Q15</f>
        <v>61493.719790000483</v>
      </c>
      <c r="R35" s="23"/>
      <c r="S35" s="16"/>
      <c r="T35" s="16"/>
      <c r="U35" s="16"/>
      <c r="V35" s="16"/>
      <c r="W35" s="16"/>
      <c r="X35" s="16"/>
      <c r="Y35" s="16"/>
    </row>
    <row r="36" spans="1:25" s="18" customFormat="1" ht="15.75" x14ac:dyDescent="0.25">
      <c r="A36" s="25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18" customFormat="1" ht="9.9499999999999993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17"/>
      <c r="O37" s="17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18" customFormat="1" ht="15" customHeight="1" x14ac:dyDescent="0.2">
      <c r="A38" s="19" t="s">
        <v>32</v>
      </c>
      <c r="B38" s="16">
        <f>[2]FP!U31</f>
        <v>238534.07</v>
      </c>
      <c r="C38" s="16">
        <f>[3]REG9!B38</f>
        <v>143501.43484</v>
      </c>
      <c r="D38" s="16">
        <f>B38-C38</f>
        <v>95032.635160000005</v>
      </c>
      <c r="E38" s="16">
        <f>D38/C38*100</f>
        <v>66.224170696243334</v>
      </c>
      <c r="F38" s="16"/>
      <c r="G38" s="16">
        <f>[4]FP!U31</f>
        <v>342260.43</v>
      </c>
      <c r="H38" s="16">
        <f>[3]REG9!G38</f>
        <v>287813.69988999999</v>
      </c>
      <c r="I38" s="16">
        <f>G38-H38</f>
        <v>54446.730110000004</v>
      </c>
      <c r="J38" s="16">
        <f>I38/H38*100</f>
        <v>18.917351790692763</v>
      </c>
      <c r="K38" s="16"/>
      <c r="L38" s="16">
        <f>[5]FP!U31</f>
        <v>19212.34</v>
      </c>
      <c r="M38" s="17">
        <f>[3]REG9!L38</f>
        <v>18837.259999999998</v>
      </c>
      <c r="N38" s="17">
        <f>L38-M38</f>
        <v>375.08000000000175</v>
      </c>
      <c r="O38" s="17">
        <f>N38/M38*100</f>
        <v>1.9911600731741337</v>
      </c>
      <c r="P38" s="16"/>
      <c r="Q38" s="16">
        <f>[6]FP!U31</f>
        <v>81344.12</v>
      </c>
      <c r="R38" s="16">
        <f>[3]REG9!Q38</f>
        <v>193859.73727000001</v>
      </c>
      <c r="S38" s="16">
        <f>Q38-R38</f>
        <v>-112515.61727000002</v>
      </c>
      <c r="T38" s="16">
        <f>S38/R38*100</f>
        <v>-58.039703785058173</v>
      </c>
      <c r="U38" s="16"/>
      <c r="V38" s="16">
        <f t="shared" ref="V38:W40" si="11">+B38+G38+L38+Q38</f>
        <v>681350.96</v>
      </c>
      <c r="W38" s="16">
        <f t="shared" si="11"/>
        <v>644012.13199999998</v>
      </c>
      <c r="X38" s="16">
        <f>V38-W38</f>
        <v>37338.82799999998</v>
      </c>
      <c r="Y38" s="16">
        <f>X38/W38*100</f>
        <v>5.7978454356198341</v>
      </c>
    </row>
    <row r="39" spans="1:25" s="18" customFormat="1" ht="15" customHeight="1" x14ac:dyDescent="0.2">
      <c r="A39" s="19" t="s">
        <v>33</v>
      </c>
      <c r="B39" s="16">
        <f>[2]FP!U32</f>
        <v>0</v>
      </c>
      <c r="C39" s="16">
        <f>[3]REG9!B39</f>
        <v>0</v>
      </c>
      <c r="D39" s="16">
        <f>B39-C39</f>
        <v>0</v>
      </c>
      <c r="E39" s="16"/>
      <c r="F39" s="16"/>
      <c r="G39" s="16">
        <f>[4]FP!U32</f>
        <v>0</v>
      </c>
      <c r="H39" s="16">
        <f>[3]REG9!G39</f>
        <v>0</v>
      </c>
      <c r="I39" s="16">
        <f>G39-H39</f>
        <v>0</v>
      </c>
      <c r="J39" s="16"/>
      <c r="K39" s="16"/>
      <c r="L39" s="16">
        <f>[5]FP!U32</f>
        <v>542.66999999999996</v>
      </c>
      <c r="M39" s="17">
        <f>[3]REG9!L39</f>
        <v>712.75</v>
      </c>
      <c r="N39" s="17">
        <f>L39-M39</f>
        <v>-170.08000000000004</v>
      </c>
      <c r="O39" s="17">
        <f>N39/M39*100</f>
        <v>-23.862504384426522</v>
      </c>
      <c r="P39" s="16"/>
      <c r="Q39" s="16">
        <f>[6]FP!U32</f>
        <v>0</v>
      </c>
      <c r="R39" s="16">
        <f>[3]REG9!Q39</f>
        <v>0</v>
      </c>
      <c r="S39" s="16">
        <f>Q39-R39</f>
        <v>0</v>
      </c>
      <c r="T39" s="16"/>
      <c r="U39" s="16"/>
      <c r="V39" s="16">
        <f t="shared" si="11"/>
        <v>542.66999999999996</v>
      </c>
      <c r="W39" s="16">
        <f t="shared" si="11"/>
        <v>712.75</v>
      </c>
      <c r="X39" s="16">
        <f>V39-W39</f>
        <v>-170.08000000000004</v>
      </c>
      <c r="Y39" s="16">
        <f>X39/W39*100</f>
        <v>-23.862504384426522</v>
      </c>
    </row>
    <row r="40" spans="1:25" s="18" customFormat="1" ht="15" customHeight="1" x14ac:dyDescent="0.2">
      <c r="A40" s="19" t="s">
        <v>34</v>
      </c>
      <c r="B40" s="16">
        <f>[2]FP!U33</f>
        <v>189707.08</v>
      </c>
      <c r="C40" s="16">
        <f>[3]REG9!B40</f>
        <v>165682.37589</v>
      </c>
      <c r="D40" s="16">
        <f>B40-C40</f>
        <v>24024.704109999991</v>
      </c>
      <c r="E40" s="16">
        <f>D40/C40*100</f>
        <v>14.500458471183741</v>
      </c>
      <c r="F40" s="16"/>
      <c r="G40" s="16">
        <f>[4]FP!U33</f>
        <v>2709.7</v>
      </c>
      <c r="H40" s="16">
        <f>[3]REG9!G40</f>
        <v>10532.88415</v>
      </c>
      <c r="I40" s="16">
        <f>G40-H40</f>
        <v>-7823.18415</v>
      </c>
      <c r="J40" s="16">
        <f>I40/H40*100</f>
        <v>-74.273902936642472</v>
      </c>
      <c r="K40" s="16"/>
      <c r="L40" s="16">
        <f>[5]FP!U33</f>
        <v>2988.02</v>
      </c>
      <c r="M40" s="17">
        <f>[3]REG9!L40</f>
        <v>6276.45</v>
      </c>
      <c r="N40" s="17">
        <f>L40-M40</f>
        <v>-3288.43</v>
      </c>
      <c r="O40" s="17">
        <f>N40/M40*100</f>
        <v>-52.393152179974344</v>
      </c>
      <c r="P40" s="16"/>
      <c r="Q40" s="16">
        <f>[6]FP!U33</f>
        <v>35199.019999999997</v>
      </c>
      <c r="R40" s="16">
        <f>[3]REG9!Q40</f>
        <v>143903.04246999999</v>
      </c>
      <c r="S40" s="16">
        <f>Q40-R40</f>
        <v>-108704.02247</v>
      </c>
      <c r="T40" s="16">
        <f>S40/R40*100</f>
        <v>-75.539766640209805</v>
      </c>
      <c r="U40" s="16"/>
      <c r="V40" s="16">
        <f t="shared" si="11"/>
        <v>230603.81999999998</v>
      </c>
      <c r="W40" s="16">
        <f t="shared" si="11"/>
        <v>326394.75251000002</v>
      </c>
      <c r="X40" s="16">
        <f>V40-W40</f>
        <v>-95790.932510000042</v>
      </c>
      <c r="Y40" s="16">
        <f>X40/W40*100</f>
        <v>-29.348183992959637</v>
      </c>
    </row>
    <row r="41" spans="1:25" s="18" customFormat="1" ht="15" customHeight="1" x14ac:dyDescent="0.2">
      <c r="A41" s="19" t="s">
        <v>35</v>
      </c>
      <c r="B41" s="16"/>
      <c r="C41" s="16">
        <f>[3]REG9!B41</f>
        <v>0</v>
      </c>
      <c r="D41" s="16"/>
      <c r="E41" s="16"/>
      <c r="F41" s="16"/>
      <c r="G41" s="16"/>
      <c r="H41" s="16">
        <f>[3]REG9!G41</f>
        <v>0</v>
      </c>
      <c r="I41" s="16"/>
      <c r="J41" s="16"/>
      <c r="K41" s="16"/>
      <c r="L41" s="16"/>
      <c r="M41" s="17">
        <f>[3]REG9!L41</f>
        <v>0</v>
      </c>
      <c r="N41" s="17"/>
      <c r="O41" s="17"/>
      <c r="P41" s="16"/>
      <c r="Q41" s="16"/>
      <c r="R41" s="16">
        <f>[3]REG9!Q41</f>
        <v>0</v>
      </c>
      <c r="S41" s="16"/>
      <c r="T41" s="16"/>
      <c r="U41" s="16"/>
      <c r="V41" s="16"/>
      <c r="W41" s="16"/>
      <c r="X41" s="16"/>
      <c r="Y41" s="16"/>
    </row>
    <row r="42" spans="1:25" s="18" customFormat="1" ht="15" customHeight="1" x14ac:dyDescent="0.2">
      <c r="A42" s="19" t="s">
        <v>36</v>
      </c>
      <c r="B42" s="16">
        <f>[2]FP!$U$35</f>
        <v>1285456.6200000001</v>
      </c>
      <c r="C42" s="16">
        <f>[3]REG9!B42</f>
        <v>1179897.92</v>
      </c>
      <c r="D42" s="16">
        <f>B42-C42</f>
        <v>105558.70000000019</v>
      </c>
      <c r="E42" s="16">
        <f>D42/C42*100</f>
        <v>8.9464264840809431</v>
      </c>
      <c r="F42" s="16"/>
      <c r="G42" s="16">
        <f>[4]FP!$U$35</f>
        <v>315975.46000000002</v>
      </c>
      <c r="H42" s="16">
        <f>[3]REG9!G42</f>
        <v>315996.90999999997</v>
      </c>
      <c r="I42" s="16">
        <f>G42-H42</f>
        <v>-21.449999999953434</v>
      </c>
      <c r="J42" s="16">
        <f>I42/H42*100</f>
        <v>-6.7880410602601891E-3</v>
      </c>
      <c r="K42" s="16"/>
      <c r="L42" s="16">
        <f>[5]FP!$U$35</f>
        <v>361087.7</v>
      </c>
      <c r="M42" s="17">
        <f>[3]REG9!L42</f>
        <v>377951.45</v>
      </c>
      <c r="N42" s="17">
        <f>L42-M42</f>
        <v>-16863.75</v>
      </c>
      <c r="O42" s="17">
        <f>N42/M42*100</f>
        <v>-4.4618826042339563</v>
      </c>
      <c r="P42" s="16"/>
      <c r="Q42" s="16">
        <f>[6]FP!$U$35</f>
        <v>289811.49</v>
      </c>
      <c r="R42" s="16">
        <f>[3]REG9!Q42</f>
        <v>287406.36</v>
      </c>
      <c r="S42" s="16">
        <f>Q42-R42</f>
        <v>2405.1300000000047</v>
      </c>
      <c r="T42" s="16">
        <f>S42/R42*100</f>
        <v>0.8368395187914438</v>
      </c>
      <c r="U42" s="16"/>
      <c r="V42" s="16">
        <f>+B42+G42+L42+Q42</f>
        <v>2252331.27</v>
      </c>
      <c r="W42" s="16">
        <f>+C42+H42+M42+R42</f>
        <v>2161252.6399999997</v>
      </c>
      <c r="X42" s="16">
        <f>V42-W42</f>
        <v>91078.630000000354</v>
      </c>
      <c r="Y42" s="16">
        <f>X42/W42*100</f>
        <v>4.2141593404832287</v>
      </c>
    </row>
    <row r="43" spans="1:25" s="29" customFormat="1" ht="15" customHeight="1" x14ac:dyDescent="0.2">
      <c r="A43" s="26" t="s">
        <v>37</v>
      </c>
      <c r="B43" s="27">
        <f>B42/(B14/'[1]DON''T DELETE'!B1)</f>
        <v>2.1498538603226418</v>
      </c>
      <c r="C43" s="27">
        <f>[3]REG9!B43</f>
        <v>1.9480962334547249</v>
      </c>
      <c r="D43" s="27">
        <f>B43-C43</f>
        <v>0.20175762686791687</v>
      </c>
      <c r="E43" s="16">
        <f>D43/C43*100</f>
        <v>10.356656072894452</v>
      </c>
      <c r="F43" s="27"/>
      <c r="G43" s="27">
        <f>G42/(G14/'[1]DON''T DELETE'!B1)</f>
        <v>0.97418672449314825</v>
      </c>
      <c r="H43" s="27">
        <f>[3]REG9!G43</f>
        <v>0.89369121931840378</v>
      </c>
      <c r="I43" s="27">
        <f>G43-H43</f>
        <v>8.0495505174744464E-2</v>
      </c>
      <c r="J43" s="16">
        <f>I43/H43*100</f>
        <v>9.0070824726393077</v>
      </c>
      <c r="K43" s="27"/>
      <c r="L43" s="27">
        <f>L42/(L14/'[1]DON''T DELETE'!B1)</f>
        <v>2.2533875707238793</v>
      </c>
      <c r="M43" s="28">
        <f>[3]REG9!L43</f>
        <v>2.1457480721807967</v>
      </c>
      <c r="N43" s="28">
        <f>L43-M43</f>
        <v>0.10763949854308263</v>
      </c>
      <c r="O43" s="17">
        <f>N43/M43*100</f>
        <v>5.0164089595888557</v>
      </c>
      <c r="P43" s="27"/>
      <c r="Q43" s="27">
        <f>Q42/(Q14/'[1]DON''T DELETE'!B1)</f>
        <v>1.0208313399335147</v>
      </c>
      <c r="R43" s="27">
        <f>[3]REG9!Q43</f>
        <v>0.94825075777943324</v>
      </c>
      <c r="S43" s="27">
        <f>Q43-R43</f>
        <v>7.2580582154081474E-2</v>
      </c>
      <c r="T43" s="16">
        <f>S43/R43*100</f>
        <v>7.6541549330313323</v>
      </c>
      <c r="U43" s="27"/>
      <c r="V43" s="27">
        <f>V42/(V14/'[1]DON''T DELETE'!B1)</f>
        <v>1.6483507204751238</v>
      </c>
      <c r="W43" s="27">
        <f>W42/(W14/'[1]DON''T DELETE'!B1)</f>
        <v>1.5024514253193986</v>
      </c>
      <c r="X43" s="27">
        <f>V43-W43</f>
        <v>0.14589929515572519</v>
      </c>
      <c r="Y43" s="16">
        <f>X43/W43*100</f>
        <v>9.7107495588224548</v>
      </c>
    </row>
    <row r="44" spans="1:25" s="29" customFormat="1" ht="15" customHeight="1" x14ac:dyDescent="0.2">
      <c r="A44" s="26" t="s">
        <v>38</v>
      </c>
      <c r="B44" s="21"/>
      <c r="C44" s="21">
        <f>[3]REG9!B44</f>
        <v>0</v>
      </c>
      <c r="D44" s="16"/>
      <c r="E44" s="16"/>
      <c r="F44" s="16"/>
      <c r="G44" s="21"/>
      <c r="H44" s="21">
        <f>[3]REG9!G44</f>
        <v>0</v>
      </c>
      <c r="I44" s="16"/>
      <c r="J44" s="16"/>
      <c r="K44" s="16"/>
      <c r="L44" s="21"/>
      <c r="M44" s="22">
        <f>[3]REG9!L44</f>
        <v>0</v>
      </c>
      <c r="N44" s="17"/>
      <c r="O44" s="17"/>
      <c r="P44" s="16"/>
      <c r="Q44" s="21"/>
      <c r="R44" s="21">
        <f>[3]REG9!Q44</f>
        <v>0</v>
      </c>
      <c r="S44" s="16"/>
      <c r="T44" s="16"/>
      <c r="U44" s="16"/>
      <c r="V44" s="21"/>
      <c r="W44" s="21"/>
      <c r="X44" s="16"/>
      <c r="Y44" s="16"/>
    </row>
    <row r="45" spans="1:25" s="18" customFormat="1" ht="15" customHeight="1" x14ac:dyDescent="0.2">
      <c r="A45" s="19" t="s">
        <v>36</v>
      </c>
      <c r="B45" s="16">
        <f>[2]FP!$U$38</f>
        <v>1648782.74</v>
      </c>
      <c r="C45" s="16">
        <f>[3]REG9!B45</f>
        <v>2416608.88</v>
      </c>
      <c r="D45" s="16">
        <f t="shared" ref="D45:D50" si="12">B45-C45</f>
        <v>-767826.1399999999</v>
      </c>
      <c r="E45" s="16">
        <f t="shared" ref="E45:E50" si="13">D45/C45*100</f>
        <v>-31.772875882174194</v>
      </c>
      <c r="F45" s="16"/>
      <c r="G45" s="16">
        <f>[4]FP!$U$38</f>
        <v>265629.12</v>
      </c>
      <c r="H45" s="16">
        <f>[3]REG9!G45</f>
        <v>237352.84</v>
      </c>
      <c r="I45" s="16">
        <f t="shared" ref="I45:I50" si="14">G45-H45</f>
        <v>28276.28</v>
      </c>
      <c r="J45" s="16">
        <f t="shared" ref="J45:J50" si="15">I45/H45*100</f>
        <v>11.913183764727652</v>
      </c>
      <c r="K45" s="16"/>
      <c r="L45" s="16">
        <f>[5]FP!$U$38</f>
        <v>249065.08</v>
      </c>
      <c r="M45" s="17">
        <f>[3]REG9!L45</f>
        <v>507628.52</v>
      </c>
      <c r="N45" s="17">
        <f t="shared" ref="N45:N50" si="16">L45-M45</f>
        <v>-258563.44000000003</v>
      </c>
      <c r="O45" s="17">
        <f t="shared" ref="O45:O50" si="17">N45/M45*100</f>
        <v>-50.93556209174379</v>
      </c>
      <c r="P45" s="16"/>
      <c r="Q45" s="16">
        <f>[6]FP!$U$38</f>
        <v>399397.98</v>
      </c>
      <c r="R45" s="16">
        <f>[3]REG9!Q45</f>
        <v>384804.27</v>
      </c>
      <c r="S45" s="16">
        <f t="shared" ref="S45:S50" si="18">Q45-R45</f>
        <v>14593.709999999963</v>
      </c>
      <c r="T45" s="16">
        <f t="shared" ref="T45:T50" si="19">S45/R45*100</f>
        <v>3.7925020946363102</v>
      </c>
      <c r="U45" s="16"/>
      <c r="V45" s="16">
        <f>+B45+G45+L45+Q45</f>
        <v>2562874.92</v>
      </c>
      <c r="W45" s="16">
        <f>+C45+H45+M45+R45</f>
        <v>3546394.51</v>
      </c>
      <c r="X45" s="16">
        <f t="shared" ref="X45:X50" si="20">V45-W45</f>
        <v>-983519.58999999985</v>
      </c>
      <c r="Y45" s="16">
        <f t="shared" ref="Y45:Y50" si="21">X45/W45*100</f>
        <v>-27.732943619969681</v>
      </c>
    </row>
    <row r="46" spans="1:25" s="29" customFormat="1" ht="15" customHeight="1" x14ac:dyDescent="0.2">
      <c r="A46" s="26" t="s">
        <v>39</v>
      </c>
      <c r="B46" s="27">
        <f>B45/(B23/'[1]DON''T DELETE'!B1)</f>
        <v>3.0544126894985109</v>
      </c>
      <c r="C46" s="27">
        <f>[3]REG9!B46</f>
        <v>4.5328077856881146</v>
      </c>
      <c r="D46" s="27">
        <f t="shared" si="12"/>
        <v>-1.4783950961896037</v>
      </c>
      <c r="E46" s="16">
        <f t="shared" si="13"/>
        <v>-32.615437629133268</v>
      </c>
      <c r="F46" s="27"/>
      <c r="G46" s="27">
        <f>G45/(G23/'[1]DON''T DELETE'!B1)</f>
        <v>1.0890624382985656</v>
      </c>
      <c r="H46" s="27">
        <f>[3]REG9!G46</f>
        <v>0.88488769173756054</v>
      </c>
      <c r="I46" s="27">
        <f t="shared" si="14"/>
        <v>0.20417474656100509</v>
      </c>
      <c r="J46" s="16">
        <f t="shared" si="15"/>
        <v>23.073520907505074</v>
      </c>
      <c r="K46" s="27"/>
      <c r="L46" s="27">
        <f>L45/(L23/'[1]DON''T DELETE'!B1)</f>
        <v>2.0281205414868047</v>
      </c>
      <c r="M46" s="28">
        <f>[3]REG9!L46</f>
        <v>3.5939542936734235</v>
      </c>
      <c r="N46" s="28">
        <f t="shared" si="16"/>
        <v>-1.5658337521866188</v>
      </c>
      <c r="O46" s="17">
        <f t="shared" si="17"/>
        <v>-43.568549409295954</v>
      </c>
      <c r="P46" s="27"/>
      <c r="Q46" s="27">
        <f>Q45/(Q23/'[1]DON''T DELETE'!B1)</f>
        <v>1.9683012211139521</v>
      </c>
      <c r="R46" s="27">
        <f>[3]REG9!Q46</f>
        <v>1.7410950940841772</v>
      </c>
      <c r="S46" s="27">
        <f t="shared" si="18"/>
        <v>0.22720612702977494</v>
      </c>
      <c r="T46" s="16">
        <f t="shared" si="19"/>
        <v>13.049610432064668</v>
      </c>
      <c r="U46" s="27"/>
      <c r="V46" s="27">
        <f>V45/(V23/'[1]DON''T DELETE'!B1)</f>
        <v>2.3100811495338172</v>
      </c>
      <c r="W46" s="27">
        <f>W45/(W23/'[1]DON''T DELETE'!B1)</f>
        <v>3.0477137531058225</v>
      </c>
      <c r="X46" s="27">
        <f t="shared" si="20"/>
        <v>-0.73763260357200533</v>
      </c>
      <c r="Y46" s="16">
        <f t="shared" si="21"/>
        <v>-24.202817696389918</v>
      </c>
    </row>
    <row r="47" spans="1:25" s="18" customFormat="1" ht="15" customHeight="1" x14ac:dyDescent="0.2">
      <c r="A47" s="19" t="s">
        <v>40</v>
      </c>
      <c r="B47" s="16">
        <f>[2]FP!U40</f>
        <v>476906.28359666676</v>
      </c>
      <c r="C47" s="16">
        <f>[3]REG9!B47</f>
        <v>335073.27870777779</v>
      </c>
      <c r="D47" s="16">
        <f t="shared" si="12"/>
        <v>141833.00488888897</v>
      </c>
      <c r="E47" s="16">
        <f t="shared" si="13"/>
        <v>42.328951277724407</v>
      </c>
      <c r="F47" s="16"/>
      <c r="G47" s="16">
        <f>[4]FP!U40</f>
        <v>238125.77296888886</v>
      </c>
      <c r="H47" s="16">
        <f>[3]REG9!G47</f>
        <v>175998.12255444445</v>
      </c>
      <c r="I47" s="16">
        <f t="shared" si="14"/>
        <v>62127.650414444419</v>
      </c>
      <c r="J47" s="16">
        <f t="shared" si="15"/>
        <v>35.300177929582986</v>
      </c>
      <c r="K47" s="16"/>
      <c r="L47" s="16">
        <f>[5]FP!U40</f>
        <v>112184.79214222223</v>
      </c>
      <c r="M47" s="17">
        <f>[3]REG9!L47</f>
        <v>146044.54919999998</v>
      </c>
      <c r="N47" s="17">
        <f t="shared" si="16"/>
        <v>-33859.757057777751</v>
      </c>
      <c r="O47" s="17">
        <f t="shared" si="17"/>
        <v>-23.184540089482336</v>
      </c>
      <c r="P47" s="16"/>
      <c r="Q47" s="16">
        <f>[6]FP!U40</f>
        <v>198743.4547588889</v>
      </c>
      <c r="R47" s="16">
        <f>[3]REG9!Q47</f>
        <v>141787.92601444444</v>
      </c>
      <c r="S47" s="16">
        <f t="shared" si="18"/>
        <v>56955.528744444455</v>
      </c>
      <c r="T47" s="16">
        <f t="shared" si="19"/>
        <v>40.16951960961908</v>
      </c>
      <c r="U47" s="16"/>
      <c r="V47" s="16">
        <f t="shared" ref="V47:W50" si="22">+B47+G47+L47+Q47</f>
        <v>1025960.3034666668</v>
      </c>
      <c r="W47" s="16">
        <f t="shared" si="22"/>
        <v>798903.87647666666</v>
      </c>
      <c r="X47" s="16">
        <f t="shared" si="20"/>
        <v>227056.42699000018</v>
      </c>
      <c r="Y47" s="16">
        <f t="shared" si="21"/>
        <v>28.420994524568659</v>
      </c>
    </row>
    <row r="48" spans="1:25" s="18" customFormat="1" ht="15" customHeight="1" x14ac:dyDescent="0.2">
      <c r="A48" s="19" t="s">
        <v>41</v>
      </c>
      <c r="B48" s="16">
        <f>[2]FP!U41</f>
        <v>794.21253000000002</v>
      </c>
      <c r="C48" s="16">
        <f>[3]REG9!B48</f>
        <v>315.90957000000003</v>
      </c>
      <c r="D48" s="16">
        <f t="shared" si="12"/>
        <v>478.30295999999998</v>
      </c>
      <c r="E48" s="16">
        <f t="shared" si="13"/>
        <v>151.40502391238098</v>
      </c>
      <c r="F48" s="16"/>
      <c r="G48" s="16">
        <f>[4]FP!U41</f>
        <v>0</v>
      </c>
      <c r="H48" s="16">
        <f>[3]REG9!G48</f>
        <v>0</v>
      </c>
      <c r="I48" s="16">
        <f t="shared" si="14"/>
        <v>0</v>
      </c>
      <c r="J48" s="16"/>
      <c r="K48" s="16"/>
      <c r="L48" s="16">
        <f>[5]FP!U41</f>
        <v>1554.0764799999999</v>
      </c>
      <c r="M48" s="17">
        <f>[3]REG9!L48</f>
        <v>1664.88499</v>
      </c>
      <c r="N48" s="17">
        <f t="shared" si="16"/>
        <v>-110.80851000000007</v>
      </c>
      <c r="O48" s="17">
        <f t="shared" si="17"/>
        <v>-6.6556255035971024</v>
      </c>
      <c r="P48" s="16"/>
      <c r="Q48" s="16">
        <f>[6]FP!U41</f>
        <v>521.47923000000003</v>
      </c>
      <c r="R48" s="16">
        <f>[3]REG9!Q48</f>
        <v>495.86903000000001</v>
      </c>
      <c r="S48" s="16">
        <f t="shared" si="18"/>
        <v>25.61020000000002</v>
      </c>
      <c r="T48" s="16">
        <f t="shared" si="19"/>
        <v>5.1647105285038712</v>
      </c>
      <c r="U48" s="16"/>
      <c r="V48" s="16">
        <f t="shared" si="22"/>
        <v>2869.7682399999999</v>
      </c>
      <c r="W48" s="16">
        <f t="shared" si="22"/>
        <v>2476.6635900000001</v>
      </c>
      <c r="X48" s="16">
        <f t="shared" si="20"/>
        <v>393.10464999999976</v>
      </c>
      <c r="Y48" s="16">
        <f t="shared" si="21"/>
        <v>15.872347443037258</v>
      </c>
    </row>
    <row r="49" spans="1:25" s="18" customFormat="1" ht="15" customHeight="1" x14ac:dyDescent="0.2">
      <c r="A49" s="19" t="s">
        <v>42</v>
      </c>
      <c r="B49" s="16">
        <f>[2]FP!U42</f>
        <v>163035.98934999999</v>
      </c>
      <c r="C49" s="16">
        <f>[3]REG9!B49</f>
        <v>109441.22842</v>
      </c>
      <c r="D49" s="16">
        <f t="shared" si="12"/>
        <v>53594.760929999989</v>
      </c>
      <c r="E49" s="16">
        <f t="shared" si="13"/>
        <v>48.971271342387212</v>
      </c>
      <c r="F49" s="16"/>
      <c r="G49" s="16">
        <f>[4]FP!U42</f>
        <v>73164.807409999994</v>
      </c>
      <c r="H49" s="16">
        <f>[3]REG9!G49</f>
        <v>48920.407249999997</v>
      </c>
      <c r="I49" s="16">
        <f t="shared" si="14"/>
        <v>24244.400159999997</v>
      </c>
      <c r="J49" s="16">
        <f t="shared" si="15"/>
        <v>49.558868216494659</v>
      </c>
      <c r="K49" s="16"/>
      <c r="L49" s="16">
        <f>[5]FP!U42</f>
        <v>48951.535400000001</v>
      </c>
      <c r="M49" s="16">
        <f>[3]REG9!L49</f>
        <v>27961.836659999994</v>
      </c>
      <c r="N49" s="16">
        <f t="shared" si="16"/>
        <v>20989.698740000007</v>
      </c>
      <c r="O49" s="16">
        <f t="shared" si="17"/>
        <v>75.065522323239307</v>
      </c>
      <c r="P49" s="16"/>
      <c r="Q49" s="16">
        <f>[6]FP!U42</f>
        <v>76312.20349</v>
      </c>
      <c r="R49" s="16">
        <f>[3]REG9!Q49</f>
        <v>49272.470280000001</v>
      </c>
      <c r="S49" s="16">
        <f t="shared" si="18"/>
        <v>27039.733209999999</v>
      </c>
      <c r="T49" s="16">
        <f t="shared" si="19"/>
        <v>54.877973554688189</v>
      </c>
      <c r="U49" s="16"/>
      <c r="V49" s="16">
        <f t="shared" si="22"/>
        <v>361464.53564999998</v>
      </c>
      <c r="W49" s="16">
        <f t="shared" si="22"/>
        <v>235595.94261</v>
      </c>
      <c r="X49" s="16">
        <f t="shared" si="20"/>
        <v>125868.59303999998</v>
      </c>
      <c r="Y49" s="16">
        <f t="shared" si="21"/>
        <v>53.425620002446259</v>
      </c>
    </row>
    <row r="50" spans="1:25" s="18" customFormat="1" ht="15" hidden="1" customHeight="1" x14ac:dyDescent="0.2">
      <c r="A50" s="19" t="s">
        <v>43</v>
      </c>
      <c r="B50" s="16">
        <f>+B15</f>
        <v>78825.228960000008</v>
      </c>
      <c r="C50" s="16">
        <v>69977.41</v>
      </c>
      <c r="D50" s="16">
        <f t="shared" si="12"/>
        <v>8847.8189600000042</v>
      </c>
      <c r="E50" s="16">
        <f t="shared" si="13"/>
        <v>12.64382171332149</v>
      </c>
      <c r="F50" s="16"/>
      <c r="G50" s="16">
        <f>+G15</f>
        <v>67900.996859999999</v>
      </c>
      <c r="H50" s="16">
        <v>69977.41</v>
      </c>
      <c r="I50" s="16">
        <f t="shared" si="14"/>
        <v>-2076.4131400000042</v>
      </c>
      <c r="J50" s="16">
        <f t="shared" si="15"/>
        <v>-2.9672620635716642</v>
      </c>
      <c r="K50" s="16"/>
      <c r="L50" s="16">
        <f>+L15</f>
        <v>42132.640069999994</v>
      </c>
      <c r="M50" s="17">
        <v>69977.41</v>
      </c>
      <c r="N50" s="17">
        <f t="shared" si="16"/>
        <v>-27844.769930000009</v>
      </c>
      <c r="O50" s="17">
        <f t="shared" si="17"/>
        <v>-39.791083908364158</v>
      </c>
      <c r="P50" s="16"/>
      <c r="Q50" s="16">
        <f>+Q15</f>
        <v>107860.97242000001</v>
      </c>
      <c r="R50" s="16">
        <v>69977.41</v>
      </c>
      <c r="S50" s="16">
        <f t="shared" si="18"/>
        <v>37883.562420000002</v>
      </c>
      <c r="T50" s="16">
        <f t="shared" si="19"/>
        <v>54.136845619179105</v>
      </c>
      <c r="U50" s="16"/>
      <c r="V50" s="16">
        <f t="shared" si="22"/>
        <v>296719.83831000002</v>
      </c>
      <c r="W50" s="16">
        <f t="shared" si="22"/>
        <v>279909.64</v>
      </c>
      <c r="X50" s="16">
        <f t="shared" si="20"/>
        <v>16810.198310000007</v>
      </c>
      <c r="Y50" s="16">
        <f t="shared" si="21"/>
        <v>6.0055803401411989</v>
      </c>
    </row>
    <row r="51" spans="1:25" s="29" customFormat="1" ht="9.9499999999999993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s="29" customFormat="1" ht="20.100000000000001" customHeight="1" x14ac:dyDescent="0.25">
      <c r="A52" s="30" t="s">
        <v>44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s="18" customFormat="1" ht="15" customHeight="1" x14ac:dyDescent="0.2">
      <c r="A53" s="19" t="s">
        <v>45</v>
      </c>
      <c r="B53" s="16">
        <f>'[7]financial profile(mcso)'!X120</f>
        <v>509296.63654000009</v>
      </c>
      <c r="C53" s="16">
        <f>[3]REG9!B53</f>
        <v>472928.27654000005</v>
      </c>
      <c r="D53" s="16">
        <f>B53-C53</f>
        <v>36368.360000000044</v>
      </c>
      <c r="E53" s="16">
        <f>D53/C53*100</f>
        <v>7.6900371164260513</v>
      </c>
      <c r="F53" s="16"/>
      <c r="G53" s="16">
        <f>'[7]financial profile(mcso)'!Y120</f>
        <v>85462.780969999993</v>
      </c>
      <c r="H53" s="16">
        <f>[3]REG9!G53</f>
        <v>82621.67297</v>
      </c>
      <c r="I53" s="16">
        <f>G53-H53</f>
        <v>2841.1079999999929</v>
      </c>
      <c r="J53" s="16">
        <f>I53/H53*100</f>
        <v>3.4386958020465181</v>
      </c>
      <c r="K53" s="16"/>
      <c r="L53" s="16">
        <f>'[7]financial profile(mcso)'!Z120</f>
        <v>423297.29995000007</v>
      </c>
      <c r="M53" s="17">
        <f>[3]REG9!L53</f>
        <v>391794.43994999997</v>
      </c>
      <c r="N53" s="17">
        <f>L53-M53</f>
        <v>31502.860000000102</v>
      </c>
      <c r="O53" s="17">
        <f>N53/M53*100</f>
        <v>8.040660302382145</v>
      </c>
      <c r="P53" s="16"/>
      <c r="Q53" s="16">
        <f>'[7]financial profile(mcso)'!AA120</f>
        <v>369757.07329999999</v>
      </c>
      <c r="R53" s="16">
        <f>[3]REG9!Q53</f>
        <v>317564.96030000004</v>
      </c>
      <c r="S53" s="16">
        <f>Q53-R53</f>
        <v>52192.112999999954</v>
      </c>
      <c r="T53" s="16">
        <f>S53/R53*100</f>
        <v>16.435098176667427</v>
      </c>
      <c r="U53" s="16"/>
      <c r="V53" s="16">
        <f>+B53+G53+L53+Q53</f>
        <v>1387813.7907600002</v>
      </c>
      <c r="W53" s="16">
        <f>+C53+H53+M53+R53</f>
        <v>1264909.3497600001</v>
      </c>
      <c r="X53" s="16">
        <f>V53-W53</f>
        <v>122904.44100000011</v>
      </c>
      <c r="Y53" s="16">
        <f>X53/W53*100</f>
        <v>9.7164623712615938</v>
      </c>
    </row>
    <row r="54" spans="1:25" s="18" customFormat="1" ht="15" customHeight="1" x14ac:dyDescent="0.2">
      <c r="A54" s="19" t="s">
        <v>46</v>
      </c>
      <c r="B54" s="16">
        <f>'[7]financial profile(mcso)'!X121</f>
        <v>527480.8151799998</v>
      </c>
      <c r="C54" s="16">
        <f>[3]REG9!B54</f>
        <v>491112.45517999999</v>
      </c>
      <c r="D54" s="16">
        <f>B54-C54</f>
        <v>36368.359999999811</v>
      </c>
      <c r="E54" s="16">
        <f>D54/C54*100</f>
        <v>7.4053019051757234</v>
      </c>
      <c r="F54" s="16"/>
      <c r="G54" s="16">
        <f>'[7]financial profile(mcso)'!Y121</f>
        <v>88480.793510000003</v>
      </c>
      <c r="H54" s="16">
        <f>[3]REG9!G54</f>
        <v>85639.68551000001</v>
      </c>
      <c r="I54" s="16">
        <f>G54-H54</f>
        <v>2841.1079999999929</v>
      </c>
      <c r="J54" s="16">
        <f>I54/H54*100</f>
        <v>3.3175133503593273</v>
      </c>
      <c r="K54" s="16"/>
      <c r="L54" s="16">
        <f>'[7]financial profile(mcso)'!Z121</f>
        <v>423297.29995000007</v>
      </c>
      <c r="M54" s="17">
        <f>[3]REG9!L54</f>
        <v>391794.43994999997</v>
      </c>
      <c r="N54" s="17">
        <f>L54-M54</f>
        <v>31502.860000000102</v>
      </c>
      <c r="O54" s="17">
        <f>N54/M54*100</f>
        <v>8.040660302382145</v>
      </c>
      <c r="P54" s="16"/>
      <c r="Q54" s="16">
        <f>'[7]financial profile(mcso)'!AA121</f>
        <v>403382.33630000002</v>
      </c>
      <c r="R54" s="16">
        <f>[3]REG9!Q54</f>
        <v>331809.34730000002</v>
      </c>
      <c r="S54" s="16">
        <f>Q54-R54</f>
        <v>71572.989000000001</v>
      </c>
      <c r="T54" s="16">
        <f>S54/R54*100</f>
        <v>21.570516196244601</v>
      </c>
      <c r="U54" s="16"/>
      <c r="V54" s="16">
        <f>+B54+G54+L54+Q54</f>
        <v>1442641.2449399999</v>
      </c>
      <c r="W54" s="16">
        <f>+C54+H54+M54+R54</f>
        <v>1300355.9279400001</v>
      </c>
      <c r="X54" s="16">
        <f>V54-W54</f>
        <v>142285.31699999981</v>
      </c>
      <c r="Y54" s="16">
        <f>X54/W54*100</f>
        <v>10.942028558704353</v>
      </c>
    </row>
    <row r="55" spans="1:25" s="29" customFormat="1" ht="15" customHeight="1" x14ac:dyDescent="0.2">
      <c r="A55" s="19" t="s">
        <v>47</v>
      </c>
      <c r="B55" s="27">
        <f>'[7]financial profile(mcso)'!X122</f>
        <v>-1.9999998504193983</v>
      </c>
      <c r="C55" s="27">
        <f>[3]REG9!B55</f>
        <v>-1.9999998504194239</v>
      </c>
      <c r="D55" s="27">
        <f>B55-C55</f>
        <v>2.55351295663786E-14</v>
      </c>
      <c r="E55" s="16">
        <f t="shared" ref="E55:E56" si="23">D55/C55*100</f>
        <v>-1.276756573807922E-12</v>
      </c>
      <c r="F55" s="16"/>
      <c r="G55" s="27">
        <f>'[7]financial profile(mcso)'!Y122</f>
        <v>-4.2490641538442189</v>
      </c>
      <c r="H55" s="27">
        <f>[3]REG9!G55</f>
        <v>-4.2490641538442189</v>
      </c>
      <c r="I55" s="27">
        <f>G55-H55</f>
        <v>0</v>
      </c>
      <c r="J55" s="16">
        <f>I55/H55*100</f>
        <v>0</v>
      </c>
      <c r="K55" s="16"/>
      <c r="L55" s="27">
        <f>'[7]financial profile(mcso)'!Z122</f>
        <v>0</v>
      </c>
      <c r="M55" s="28">
        <f>[3]REG9!L55</f>
        <v>0</v>
      </c>
      <c r="N55" s="28">
        <f>L55-M55</f>
        <v>0</v>
      </c>
      <c r="O55" s="17"/>
      <c r="P55" s="16"/>
      <c r="Q55" s="27">
        <f>'[7]financial profile(mcso)'!AA122</f>
        <v>-2.7033541991786878</v>
      </c>
      <c r="R55" s="27">
        <f>[3]REG9!Q55</f>
        <v>-1.1451991739418139</v>
      </c>
      <c r="S55" s="27">
        <f>Q55-R55</f>
        <v>-1.5581550252368739</v>
      </c>
      <c r="T55" s="16">
        <f>S55/R55*100</f>
        <v>136.05974058413369</v>
      </c>
      <c r="U55" s="16"/>
      <c r="V55" s="27">
        <f>+'[7]financial profile(mcso)'!$I$124</f>
        <v>-1.820516321472476</v>
      </c>
      <c r="W55" s="27">
        <f>+'[8]financial profile(mcso)'!$I$124</f>
        <v>-1.176984689188435</v>
      </c>
      <c r="X55" s="27">
        <f>V55-W55</f>
        <v>-0.64353163228404098</v>
      </c>
      <c r="Y55" s="16">
        <f>X55/W55*100</f>
        <v>54.67629597864817</v>
      </c>
    </row>
    <row r="56" spans="1:25" s="18" customFormat="1" ht="15.75" customHeight="1" x14ac:dyDescent="0.2">
      <c r="A56" s="19" t="s">
        <v>48</v>
      </c>
      <c r="B56" s="16">
        <f>'[7]financial profile(mcso)'!X123</f>
        <v>-18184.178639999707</v>
      </c>
      <c r="C56" s="16">
        <f>[3]REG9!B56</f>
        <v>-18184.17863999994</v>
      </c>
      <c r="D56" s="16">
        <f>B56-C56</f>
        <v>2.3283064365386963E-10</v>
      </c>
      <c r="E56" s="16">
        <f t="shared" si="23"/>
        <v>-1.2804023116101019E-12</v>
      </c>
      <c r="F56" s="16"/>
      <c r="G56" s="16">
        <f>'[7]financial profile(mcso)'!Y123</f>
        <v>-3018.0125400000106</v>
      </c>
      <c r="H56" s="16">
        <f>[3]REG9!G56</f>
        <v>-3018.0125400000106</v>
      </c>
      <c r="I56" s="16">
        <f>G56-H56</f>
        <v>0</v>
      </c>
      <c r="J56" s="16">
        <f>I56/H56*100</f>
        <v>0</v>
      </c>
      <c r="K56" s="16"/>
      <c r="L56" s="16">
        <f>'[7]financial profile(mcso)'!Z123</f>
        <v>0</v>
      </c>
      <c r="M56" s="17">
        <f>[3]REG9!L56</f>
        <v>0</v>
      </c>
      <c r="N56" s="17">
        <f>L56-M56</f>
        <v>0</v>
      </c>
      <c r="O56" s="17"/>
      <c r="P56" s="16"/>
      <c r="Q56" s="16">
        <f>'[7]financial profile(mcso)'!AA123</f>
        <v>-33625.263000000035</v>
      </c>
      <c r="R56" s="16">
        <f>[3]REG9!Q56</f>
        <v>-14244.386999999988</v>
      </c>
      <c r="S56" s="16">
        <f>Q56-R56</f>
        <v>-19380.876000000047</v>
      </c>
      <c r="T56" s="16">
        <f>S56/R56*100</f>
        <v>136.05974058413369</v>
      </c>
      <c r="U56" s="16"/>
      <c r="V56" s="16">
        <f>+B56+G56+L56+Q56</f>
        <v>-54827.454179999753</v>
      </c>
      <c r="W56" s="16">
        <f>+C56+H56+M56+R56</f>
        <v>-35446.578179999939</v>
      </c>
      <c r="X56" s="16">
        <f>V56-W56</f>
        <v>-19380.875999999815</v>
      </c>
      <c r="Y56" s="16">
        <f>X56/W56*100</f>
        <v>54.67629597864854</v>
      </c>
    </row>
    <row r="57" spans="1:25" s="18" customFormat="1" ht="18" customHeight="1" x14ac:dyDescent="0.2">
      <c r="A57" s="19" t="s">
        <v>49</v>
      </c>
      <c r="B57" s="16">
        <f>'[7]financial profile(mcso)'!X124</f>
        <v>160569.77205000015</v>
      </c>
      <c r="C57" s="16">
        <f>[3]REG9!B57</f>
        <v>189071.87705000001</v>
      </c>
      <c r="D57" s="16">
        <f>B57-C57</f>
        <v>-28502.104999999865</v>
      </c>
      <c r="E57" s="16">
        <f>D57/C57*100</f>
        <v>-15.074745882203565</v>
      </c>
      <c r="F57" s="16"/>
      <c r="G57" s="16">
        <f>'[7]financial profile(mcso)'!Y124</f>
        <v>16628.72666</v>
      </c>
      <c r="H57" s="16">
        <f>[3]REG9!G57</f>
        <v>18230.515660000001</v>
      </c>
      <c r="I57" s="16">
        <f>G57-H57</f>
        <v>-1601.7890000000007</v>
      </c>
      <c r="J57" s="16">
        <f>I57/H57*100</f>
        <v>-8.7863065964421576</v>
      </c>
      <c r="K57" s="16"/>
      <c r="L57" s="16">
        <f>'[7]financial profile(mcso)'!Z124</f>
        <v>149501.96409999998</v>
      </c>
      <c r="M57" s="17">
        <f>[3]REG9!L57</f>
        <v>171006.60509999999</v>
      </c>
      <c r="N57" s="17">
        <f>L57-M57</f>
        <v>-21504.641000000003</v>
      </c>
      <c r="O57" s="17">
        <f>N57/M57*100</f>
        <v>-12.575327711713053</v>
      </c>
      <c r="P57" s="16"/>
      <c r="Q57" s="16">
        <f>'[7]financial profile(mcso)'!AA124</f>
        <v>393430.83152000001</v>
      </c>
      <c r="R57" s="16">
        <f>[3]REG9!Q57</f>
        <v>268706.44545</v>
      </c>
      <c r="S57" s="16">
        <f>Q57-R57</f>
        <v>124724.38607000001</v>
      </c>
      <c r="T57" s="16">
        <f>S57/R57*100</f>
        <v>46.416596319870678</v>
      </c>
      <c r="U57" s="16"/>
      <c r="V57" s="16">
        <f>+B57+G57+L57+Q57</f>
        <v>720131.29433000018</v>
      </c>
      <c r="W57" s="16">
        <f>+C57+H57+M57+R57</f>
        <v>647015.44325999997</v>
      </c>
      <c r="X57" s="16">
        <f>V57-W57</f>
        <v>73115.851070000208</v>
      </c>
      <c r="Y57" s="16">
        <f>X57/W57*100</f>
        <v>11.300480047524763</v>
      </c>
    </row>
    <row r="58" spans="1:25" s="31" customFormat="1" ht="17.25" customHeight="1" x14ac:dyDescent="0.2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17"/>
      <c r="N58" s="17"/>
      <c r="O58" s="17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s="31" customFormat="1" ht="15.75" x14ac:dyDescent="0.25">
      <c r="A59" s="30" t="s">
        <v>50</v>
      </c>
      <c r="B59" s="33"/>
      <c r="C59" s="33"/>
      <c r="D59" s="32"/>
      <c r="E59" s="32"/>
      <c r="F59" s="32"/>
      <c r="G59" s="33"/>
      <c r="H59" s="33"/>
      <c r="I59" s="32"/>
      <c r="J59" s="32"/>
      <c r="K59" s="32"/>
      <c r="L59" s="33"/>
      <c r="M59" s="34"/>
      <c r="N59" s="17"/>
      <c r="O59" s="17"/>
      <c r="P59" s="32"/>
      <c r="Q59" s="33"/>
      <c r="R59" s="33"/>
      <c r="S59" s="32"/>
      <c r="T59" s="32"/>
      <c r="U59" s="32"/>
      <c r="V59" s="32"/>
      <c r="W59" s="32"/>
      <c r="X59" s="32"/>
      <c r="Y59" s="32"/>
    </row>
    <row r="60" spans="1:25" s="31" customFormat="1" x14ac:dyDescent="0.2">
      <c r="B60" s="33"/>
      <c r="C60" s="33"/>
      <c r="D60" s="32"/>
      <c r="E60" s="32"/>
      <c r="F60" s="32"/>
      <c r="G60" s="33"/>
      <c r="H60" s="33"/>
      <c r="I60" s="32"/>
      <c r="J60" s="32"/>
      <c r="K60" s="32"/>
      <c r="L60" s="33"/>
      <c r="M60" s="34"/>
      <c r="N60" s="17"/>
      <c r="O60" s="17"/>
      <c r="P60" s="32"/>
      <c r="Q60" s="33"/>
      <c r="R60" s="33"/>
      <c r="S60" s="32"/>
      <c r="T60" s="32"/>
      <c r="U60" s="32"/>
      <c r="V60" s="32"/>
      <c r="W60" s="32"/>
      <c r="X60" s="32"/>
      <c r="Y60" s="32"/>
    </row>
    <row r="61" spans="1:25" s="18" customFormat="1" ht="15" customHeight="1" x14ac:dyDescent="0.2">
      <c r="A61" s="19" t="s">
        <v>51</v>
      </c>
      <c r="B61" s="35">
        <v>653986</v>
      </c>
      <c r="C61" s="16">
        <v>594780</v>
      </c>
      <c r="D61" s="16">
        <f>B61-C61</f>
        <v>59206</v>
      </c>
      <c r="E61" s="16">
        <f>D61/C61*100</f>
        <v>9.9542688052725392</v>
      </c>
      <c r="F61" s="16"/>
      <c r="G61" s="35">
        <v>252536</v>
      </c>
      <c r="H61" s="16">
        <v>227725</v>
      </c>
      <c r="I61" s="16">
        <f>G61-H61</f>
        <v>24811</v>
      </c>
      <c r="J61" s="16">
        <f>I61/H61*100</f>
        <v>10.895158634317708</v>
      </c>
      <c r="K61" s="16"/>
      <c r="L61" s="35">
        <v>121303.151</v>
      </c>
      <c r="M61" s="16">
        <v>101555.512</v>
      </c>
      <c r="N61" s="16">
        <f>L61-M61</f>
        <v>19747.638999999996</v>
      </c>
      <c r="O61" s="16">
        <f>N61/M61*100</f>
        <v>19.445167092456778</v>
      </c>
      <c r="P61" s="16"/>
      <c r="Q61" s="35">
        <v>269705</v>
      </c>
      <c r="R61" s="16">
        <v>230384</v>
      </c>
      <c r="S61" s="16">
        <f>Q61-R61</f>
        <v>39321</v>
      </c>
      <c r="T61" s="16">
        <f>S61/R61*100</f>
        <v>17.06759149940968</v>
      </c>
      <c r="U61" s="16"/>
      <c r="V61" s="16">
        <f t="shared" ref="V61:W63" si="24">+B61+G61+L61+Q61</f>
        <v>1297530.1510000001</v>
      </c>
      <c r="W61" s="16">
        <f t="shared" si="24"/>
        <v>1154444.5120000001</v>
      </c>
      <c r="X61" s="16">
        <f>V61-W61</f>
        <v>143085.63899999997</v>
      </c>
      <c r="Y61" s="16">
        <f>X61/W61*100</f>
        <v>12.394327965760207</v>
      </c>
    </row>
    <row r="62" spans="1:25" s="18" customFormat="1" ht="15" customHeight="1" x14ac:dyDescent="0.2">
      <c r="A62" s="19" t="s">
        <v>52</v>
      </c>
      <c r="B62" s="35">
        <v>517350</v>
      </c>
      <c r="C62" s="16">
        <v>463540</v>
      </c>
      <c r="D62" s="16">
        <f>B62-C62</f>
        <v>53810</v>
      </c>
      <c r="E62" s="16">
        <f>D62/C62*100</f>
        <v>11.608491176597489</v>
      </c>
      <c r="F62" s="16"/>
      <c r="G62" s="35">
        <v>232875</v>
      </c>
      <c r="H62" s="16">
        <v>201707</v>
      </c>
      <c r="I62" s="16">
        <f>G62-H62</f>
        <v>31168</v>
      </c>
      <c r="J62" s="16">
        <f>I62/H62*100</f>
        <v>15.452116188332582</v>
      </c>
      <c r="K62" s="16"/>
      <c r="L62" s="35">
        <v>98219.543999999994</v>
      </c>
      <c r="M62" s="16">
        <v>80574.311000000002</v>
      </c>
      <c r="N62" s="16">
        <f>L62-M62</f>
        <v>17645.232999999993</v>
      </c>
      <c r="O62" s="16">
        <f>N62/M62*100</f>
        <v>21.899328434840719</v>
      </c>
      <c r="P62" s="16"/>
      <c r="Q62" s="35">
        <v>240679</v>
      </c>
      <c r="R62" s="16">
        <v>204977</v>
      </c>
      <c r="S62" s="16">
        <f>Q62-R62</f>
        <v>35702</v>
      </c>
      <c r="T62" s="16">
        <f>S62/R62*100</f>
        <v>17.417563921805861</v>
      </c>
      <c r="U62" s="16"/>
      <c r="V62" s="16">
        <f t="shared" si="24"/>
        <v>1089123.544</v>
      </c>
      <c r="W62" s="16">
        <f t="shared" si="24"/>
        <v>950798.31099999999</v>
      </c>
      <c r="X62" s="16">
        <f>V62-W62</f>
        <v>138325.23300000001</v>
      </c>
      <c r="Y62" s="16">
        <f>X62/W62*100</f>
        <v>14.548325486034653</v>
      </c>
    </row>
    <row r="63" spans="1:25" s="18" customFormat="1" ht="15" customHeight="1" x14ac:dyDescent="0.2">
      <c r="A63" s="19" t="s">
        <v>53</v>
      </c>
      <c r="B63" s="35">
        <v>496</v>
      </c>
      <c r="C63" s="16">
        <v>485</v>
      </c>
      <c r="D63" s="16">
        <f>B63-C63</f>
        <v>11</v>
      </c>
      <c r="E63" s="16">
        <f>D63/C63*100</f>
        <v>2.268041237113402</v>
      </c>
      <c r="F63" s="16"/>
      <c r="G63" s="35">
        <v>944</v>
      </c>
      <c r="H63" s="16">
        <v>889</v>
      </c>
      <c r="I63" s="16">
        <f>G63-H63</f>
        <v>55</v>
      </c>
      <c r="J63" s="16">
        <f>I63/H63*100</f>
        <v>6.1867266591676042</v>
      </c>
      <c r="K63" s="16"/>
      <c r="L63" s="35">
        <v>186.03299999999999</v>
      </c>
      <c r="M63" s="16">
        <v>180.27799999999999</v>
      </c>
      <c r="N63" s="16">
        <f>L63-M63</f>
        <v>5.7549999999999955</v>
      </c>
      <c r="O63" s="16">
        <f>N63/M63*100</f>
        <v>3.1922919047249225</v>
      </c>
      <c r="P63" s="16"/>
      <c r="Q63" s="35">
        <v>636</v>
      </c>
      <c r="R63" s="16">
        <v>564</v>
      </c>
      <c r="S63" s="16">
        <f>Q63-R63</f>
        <v>72</v>
      </c>
      <c r="T63" s="16">
        <f>S63/R63*100</f>
        <v>12.76595744680851</v>
      </c>
      <c r="U63" s="16"/>
      <c r="V63" s="16">
        <f t="shared" si="24"/>
        <v>2262.0329999999999</v>
      </c>
      <c r="W63" s="16">
        <f t="shared" si="24"/>
        <v>2118.2780000000002</v>
      </c>
      <c r="X63" s="16">
        <f>V63-W63</f>
        <v>143.75499999999965</v>
      </c>
      <c r="Y63" s="16">
        <f>X63/W63*100</f>
        <v>6.786408582820556</v>
      </c>
    </row>
    <row r="64" spans="1:25" s="38" customFormat="1" ht="15" customHeight="1" x14ac:dyDescent="0.2">
      <c r="A64" s="36" t="s">
        <v>54</v>
      </c>
      <c r="B64" s="37">
        <f>(B61-B62-B63)/B61*100</f>
        <v>20.816959384451657</v>
      </c>
      <c r="C64" s="37">
        <f>(C61-C62-C63)/C61*100</f>
        <v>21.983758700696054</v>
      </c>
      <c r="D64" s="37"/>
      <c r="E64" s="37">
        <f>B64-C64</f>
        <v>-1.166799316244397</v>
      </c>
      <c r="F64" s="37"/>
      <c r="G64" s="37">
        <f>(G61-G62-G63)/G61*100</f>
        <v>7.4116165615991383</v>
      </c>
      <c r="H64" s="37">
        <f>(H61-H62-H63)/H61*100</f>
        <v>11.034800746514437</v>
      </c>
      <c r="I64" s="37"/>
      <c r="J64" s="37">
        <f>G64-H64</f>
        <v>-3.6231841849152984</v>
      </c>
      <c r="K64" s="37"/>
      <c r="L64" s="37">
        <f>(L61-L62-L63)/L61*100</f>
        <v>18.876322512017847</v>
      </c>
      <c r="M64" s="37">
        <f>(M61-M62-M63)/M61*100</f>
        <v>20.48231808432023</v>
      </c>
      <c r="N64" s="37"/>
      <c r="O64" s="37">
        <f>L64-M64</f>
        <v>-1.6059955723023833</v>
      </c>
      <c r="P64" s="37"/>
      <c r="Q64" s="37">
        <f>(Q61-Q62-Q63)/Q61*100</f>
        <v>10.526315789473683</v>
      </c>
      <c r="R64" s="37">
        <f>(R61-R62-R63)/R61*100</f>
        <v>10.783300923675256</v>
      </c>
      <c r="S64" s="37"/>
      <c r="T64" s="37">
        <f>Q64-R64</f>
        <v>-0.25698513420157276</v>
      </c>
      <c r="U64" s="37"/>
      <c r="V64" s="37">
        <f>(V61-V62-V63)/V61*100</f>
        <v>15.88745925026293</v>
      </c>
      <c r="W64" s="37">
        <f>(W61-W62-W63)/W61*100</f>
        <v>17.456700682033311</v>
      </c>
      <c r="X64" s="37"/>
      <c r="Y64" s="37">
        <f>V64-W64</f>
        <v>-1.5692414317703811</v>
      </c>
    </row>
    <row r="65" spans="1:25" s="29" customFormat="1" ht="15" customHeight="1" x14ac:dyDescent="0.2">
      <c r="A65" s="26" t="s">
        <v>55</v>
      </c>
      <c r="B65" s="37">
        <f>B14/(B62+B63)</f>
        <v>10.391790185904689</v>
      </c>
      <c r="C65" s="37">
        <f>C14/(C62+C63)</f>
        <v>11.747221532826895</v>
      </c>
      <c r="D65" s="16">
        <f>B65-C65</f>
        <v>-1.3554313469222059</v>
      </c>
      <c r="E65" s="16">
        <f>D65/C65*100</f>
        <v>-11.538314342115159</v>
      </c>
      <c r="F65" s="16"/>
      <c r="G65" s="37">
        <f>G14/(G62+G63)</f>
        <v>12.484577751465878</v>
      </c>
      <c r="H65" s="37">
        <f>H14/(H62+H63)</f>
        <v>15.707497087010601</v>
      </c>
      <c r="I65" s="16">
        <f>G65-H65</f>
        <v>-3.2229193355447237</v>
      </c>
      <c r="J65" s="16">
        <f>I65/H65*100</f>
        <v>-20.518350681152977</v>
      </c>
      <c r="K65" s="16"/>
      <c r="L65" s="37">
        <f>L14/(L62+L63)</f>
        <v>14.65546483559565</v>
      </c>
      <c r="M65" s="37">
        <f>M14/(M62+M63)</f>
        <v>19.630555220335523</v>
      </c>
      <c r="N65" s="16">
        <f>L65-M65</f>
        <v>-4.9750903847398735</v>
      </c>
      <c r="O65" s="16">
        <f>N65/M65*100</f>
        <v>-25.343605052933597</v>
      </c>
      <c r="P65" s="16"/>
      <c r="Q65" s="37">
        <f>Q14/(Q62+Q63)</f>
        <v>10.58814295634337</v>
      </c>
      <c r="R65" s="37">
        <f>R14/(R62+R63)</f>
        <v>13.271414706360288</v>
      </c>
      <c r="S65" s="16">
        <f>Q65-R65</f>
        <v>-2.6832717500169174</v>
      </c>
      <c r="T65" s="16">
        <f>S65/R65*100</f>
        <v>-20.218430434028765</v>
      </c>
      <c r="U65" s="16"/>
      <c r="V65" s="37">
        <f>V14/(V62+V63)</f>
        <v>11.268002725988012</v>
      </c>
      <c r="W65" s="37">
        <f>W14/(W62+W63)</f>
        <v>13.586034674888001</v>
      </c>
      <c r="X65" s="16">
        <f>V65-W65</f>
        <v>-2.3180319488999892</v>
      </c>
      <c r="Y65" s="16">
        <f>X65/W65*100</f>
        <v>-17.061872756622403</v>
      </c>
    </row>
    <row r="66" spans="1:25" s="29" customFormat="1" ht="15.75" customHeight="1" x14ac:dyDescent="0.2">
      <c r="A66" s="26" t="s">
        <v>56</v>
      </c>
      <c r="B66" s="37">
        <f>B23/B61</f>
        <v>7.4286479145272226</v>
      </c>
      <c r="C66" s="37">
        <f>C23/C61</f>
        <v>8.067244446333099</v>
      </c>
      <c r="D66" s="16">
        <f>B66-C66</f>
        <v>-0.63859653180587639</v>
      </c>
      <c r="E66" s="16">
        <f>D66/C66*100</f>
        <v>-7.9159189492038431</v>
      </c>
      <c r="F66" s="16"/>
      <c r="G66" s="37">
        <f>G23/G61</f>
        <v>8.6924482973516639</v>
      </c>
      <c r="H66" s="37">
        <f>H23/H61</f>
        <v>10.600786230980349</v>
      </c>
      <c r="I66" s="16">
        <f>G66-H66</f>
        <v>-1.908337933628685</v>
      </c>
      <c r="J66" s="16">
        <f>I66/H66*100</f>
        <v>-18.001852806461169</v>
      </c>
      <c r="K66" s="16"/>
      <c r="L66" s="37">
        <f>L23/L61</f>
        <v>9.111492146564272</v>
      </c>
      <c r="M66" s="37">
        <f>M23/M61</f>
        <v>12.517352247212342</v>
      </c>
      <c r="N66" s="16">
        <f>L66-M66</f>
        <v>-3.40586010064807</v>
      </c>
      <c r="O66" s="16">
        <f>N66/M66*100</f>
        <v>-27.20910966939168</v>
      </c>
      <c r="P66" s="16"/>
      <c r="Q66" s="37">
        <f>Q23/Q61</f>
        <v>6.7712338655568116</v>
      </c>
      <c r="R66" s="37">
        <f>R23/R61</f>
        <v>8.6339113635061455</v>
      </c>
      <c r="S66" s="16">
        <f>Q66-R66</f>
        <v>-1.8626774979493339</v>
      </c>
      <c r="T66" s="16">
        <f>S66/R66*100</f>
        <v>-21.573970585597014</v>
      </c>
      <c r="U66" s="16"/>
      <c r="V66" s="37">
        <f>V23/V61</f>
        <v>7.6952941617231057</v>
      </c>
      <c r="W66" s="37">
        <f>W23/W61</f>
        <v>9.0715670950844274</v>
      </c>
      <c r="X66" s="16">
        <f>V66-W66</f>
        <v>-1.3762729333613217</v>
      </c>
      <c r="Y66" s="16">
        <f>X66/W66*100</f>
        <v>-15.171280980847039</v>
      </c>
    </row>
    <row r="67" spans="1:25" s="29" customFormat="1" ht="15" hidden="1" customHeight="1" x14ac:dyDescent="0.2">
      <c r="A67" s="26" t="s">
        <v>57</v>
      </c>
      <c r="B67" s="16"/>
      <c r="C67" s="16">
        <f>[9]REG9!B67</f>
        <v>0</v>
      </c>
      <c r="D67" s="16"/>
      <c r="E67" s="16"/>
      <c r="F67" s="16"/>
      <c r="G67" s="16"/>
      <c r="H67" s="16">
        <f>[9]REG9!G67</f>
        <v>0</v>
      </c>
      <c r="I67" s="16"/>
      <c r="J67" s="16"/>
      <c r="K67" s="16"/>
      <c r="L67" s="16"/>
      <c r="M67" s="16">
        <f>[9]REG9!L67</f>
        <v>0</v>
      </c>
      <c r="N67" s="16"/>
      <c r="O67" s="16"/>
      <c r="P67" s="16"/>
      <c r="Q67" s="16"/>
      <c r="R67" s="16">
        <f>[9]REG9!Q67</f>
        <v>0</v>
      </c>
      <c r="S67" s="16"/>
      <c r="T67" s="16"/>
      <c r="U67" s="16"/>
      <c r="V67" s="16"/>
      <c r="W67" s="39"/>
      <c r="X67" s="16"/>
      <c r="Y67" s="16"/>
    </row>
    <row r="68" spans="1:25" s="29" customFormat="1" ht="15" customHeight="1" x14ac:dyDescent="0.2">
      <c r="A68" s="26" t="s">
        <v>58</v>
      </c>
      <c r="B68" s="40">
        <f>+$C$79</f>
        <v>91.292532310109848</v>
      </c>
      <c r="C68" s="40">
        <f>[9]REG9!B68</f>
        <v>92.359355547114092</v>
      </c>
      <c r="D68" s="27"/>
      <c r="E68" s="27">
        <f>B68-C68</f>
        <v>-1.0668232370042432</v>
      </c>
      <c r="F68" s="40"/>
      <c r="G68" s="40">
        <f>+$C$80</f>
        <v>99.986142734079792</v>
      </c>
      <c r="H68" s="41" t="str">
        <f>[9]REG9!G68</f>
        <v>100</v>
      </c>
      <c r="I68" s="27"/>
      <c r="J68" s="27">
        <f>G68-H68</f>
        <v>-1.3857265920208306E-2</v>
      </c>
      <c r="K68" s="40"/>
      <c r="L68" s="40">
        <f>+$C$81</f>
        <v>89.49152502658994</v>
      </c>
      <c r="M68" s="40">
        <f>[9]REG9!L68</f>
        <v>91.013853941735718</v>
      </c>
      <c r="N68" s="27"/>
      <c r="O68" s="27">
        <f>L68-M68</f>
        <v>-1.5223289151457777</v>
      </c>
      <c r="P68" s="40"/>
      <c r="Q68" s="40">
        <f>+$C$82</f>
        <v>98.912693279746449</v>
      </c>
      <c r="R68" s="40">
        <f>[9]REG9!Q68</f>
        <v>98.657560076094242</v>
      </c>
      <c r="S68" s="27"/>
      <c r="T68" s="27">
        <f>Q68-R68</f>
        <v>0.25513320365220693</v>
      </c>
      <c r="U68" s="40"/>
      <c r="V68" s="40">
        <f>+(B68+G68+L68+Q68)/4</f>
        <v>94.920723337631514</v>
      </c>
      <c r="W68" s="40">
        <f>+(C68+H68+M68+R68)/4</f>
        <v>95.507692391236006</v>
      </c>
      <c r="X68" s="27"/>
      <c r="Y68" s="27">
        <f>V68-W68</f>
        <v>-0.58696905360449136</v>
      </c>
    </row>
    <row r="69" spans="1:25" s="18" customFormat="1" ht="15" customHeight="1" x14ac:dyDescent="0.2">
      <c r="A69" s="19" t="s">
        <v>59</v>
      </c>
      <c r="B69" s="16">
        <v>130460</v>
      </c>
      <c r="C69" s="16">
        <v>126187</v>
      </c>
      <c r="D69" s="16">
        <f>B69-C69</f>
        <v>4273</v>
      </c>
      <c r="E69" s="16">
        <f>D69/C69*100</f>
        <v>3.3862442248409104</v>
      </c>
      <c r="F69" s="16"/>
      <c r="G69" s="16">
        <v>194780</v>
      </c>
      <c r="H69" s="16">
        <v>187510</v>
      </c>
      <c r="I69" s="16">
        <f>G69-H69</f>
        <v>7270</v>
      </c>
      <c r="J69" s="16">
        <f>I69/H69*100</f>
        <v>3.8771265532504935</v>
      </c>
      <c r="K69" s="16"/>
      <c r="L69" s="16">
        <v>135443</v>
      </c>
      <c r="M69" s="16">
        <v>131242</v>
      </c>
      <c r="N69" s="16">
        <f>L69-M69</f>
        <v>4201</v>
      </c>
      <c r="O69" s="16">
        <f>N69/M69*100</f>
        <v>3.2009570107130338</v>
      </c>
      <c r="P69" s="16"/>
      <c r="Q69" s="16">
        <v>185120</v>
      </c>
      <c r="R69" s="16">
        <v>177600</v>
      </c>
      <c r="S69" s="16">
        <f>Q69-R69</f>
        <v>7520</v>
      </c>
      <c r="T69" s="16">
        <f>S69/R69*100</f>
        <v>4.2342342342342336</v>
      </c>
      <c r="U69" s="16"/>
      <c r="V69" s="16">
        <f>+B69+G69+L69+Q69</f>
        <v>645803</v>
      </c>
      <c r="W69" s="16">
        <f>+C69+H69+M69+R69</f>
        <v>622539</v>
      </c>
      <c r="X69" s="16">
        <f>V69-W69</f>
        <v>23264</v>
      </c>
      <c r="Y69" s="16">
        <f>X69/W69*100</f>
        <v>3.7369546325611727</v>
      </c>
    </row>
    <row r="70" spans="1:25" s="18" customFormat="1" ht="15" customHeight="1" x14ac:dyDescent="0.2">
      <c r="A70" s="19" t="s">
        <v>60</v>
      </c>
      <c r="B70" s="16">
        <v>393</v>
      </c>
      <c r="C70" s="16">
        <v>382</v>
      </c>
      <c r="D70" s="16">
        <f>B70-C70</f>
        <v>11</v>
      </c>
      <c r="E70" s="16">
        <f>D70/C70*100</f>
        <v>2.8795811518324608</v>
      </c>
      <c r="F70" s="16"/>
      <c r="G70" s="16">
        <v>346</v>
      </c>
      <c r="H70" s="16">
        <v>348</v>
      </c>
      <c r="I70" s="16">
        <f>G70-H70</f>
        <v>-2</v>
      </c>
      <c r="J70" s="16">
        <f>I70/H70*100</f>
        <v>-0.57471264367816088</v>
      </c>
      <c r="K70" s="16"/>
      <c r="L70" s="16">
        <v>235</v>
      </c>
      <c r="M70" s="16">
        <v>230</v>
      </c>
      <c r="N70" s="16">
        <f>L70-M70</f>
        <v>5</v>
      </c>
      <c r="O70" s="16">
        <f>N70/M70*100</f>
        <v>2.1739130434782608</v>
      </c>
      <c r="P70" s="16"/>
      <c r="Q70" s="16">
        <v>287</v>
      </c>
      <c r="R70" s="16">
        <v>301</v>
      </c>
      <c r="S70" s="16">
        <f>Q70-R70</f>
        <v>-14</v>
      </c>
      <c r="T70" s="16">
        <f>S70/R70*100</f>
        <v>-4.6511627906976747</v>
      </c>
      <c r="U70" s="16"/>
      <c r="V70" s="16">
        <f>+B70+G70+L70+Q70</f>
        <v>1261</v>
      </c>
      <c r="W70" s="16">
        <f>+C70+H70+M70+R70</f>
        <v>1261</v>
      </c>
      <c r="X70" s="16">
        <f>V70-W70</f>
        <v>0</v>
      </c>
      <c r="Y70" s="16">
        <f>X70/W70*100</f>
        <v>0</v>
      </c>
    </row>
    <row r="71" spans="1:25" s="18" customFormat="1" ht="15" customHeight="1" x14ac:dyDescent="0.2">
      <c r="A71" s="19" t="s">
        <v>61</v>
      </c>
      <c r="B71" s="16">
        <f>B69/B70</f>
        <v>331.95928753180664</v>
      </c>
      <c r="C71" s="16">
        <f>C69/C70</f>
        <v>330.33246073298432</v>
      </c>
      <c r="D71" s="16">
        <f>B71-C71</f>
        <v>1.6268267988223215</v>
      </c>
      <c r="E71" s="16">
        <f>D71/C71*100</f>
        <v>0.49248166384027414</v>
      </c>
      <c r="F71" s="16"/>
      <c r="G71" s="16">
        <f>G69/G70</f>
        <v>562.94797687861274</v>
      </c>
      <c r="H71" s="16">
        <f>H69/H70</f>
        <v>538.82183908045977</v>
      </c>
      <c r="I71" s="16">
        <f>G71-H71</f>
        <v>24.126137798152968</v>
      </c>
      <c r="J71" s="16">
        <f>I71/H71*100</f>
        <v>4.477572371477379</v>
      </c>
      <c r="K71" s="16"/>
      <c r="L71" s="16">
        <f>L69/L70</f>
        <v>576.35319148936173</v>
      </c>
      <c r="M71" s="16">
        <f>M69/M70</f>
        <v>570.61739130434785</v>
      </c>
      <c r="N71" s="16">
        <f>L71-M71</f>
        <v>5.7358001850138862</v>
      </c>
      <c r="O71" s="16">
        <f>N71/M71*100</f>
        <v>1.0051919679319072</v>
      </c>
      <c r="P71" s="16"/>
      <c r="Q71" s="16">
        <f>Q69/Q70</f>
        <v>645.01742160278741</v>
      </c>
      <c r="R71" s="16">
        <f>R69/R70</f>
        <v>590.03322259136212</v>
      </c>
      <c r="S71" s="16">
        <f>Q71-R71</f>
        <v>54.984199011425289</v>
      </c>
      <c r="T71" s="16">
        <f>S71/R71*100</f>
        <v>9.3188310261480929</v>
      </c>
      <c r="U71" s="16"/>
      <c r="V71" s="16">
        <f>V69/V70</f>
        <v>512.13560666137982</v>
      </c>
      <c r="W71" s="16">
        <f>W69/W70</f>
        <v>493.68675654242662</v>
      </c>
      <c r="X71" s="16">
        <f>V71-W71</f>
        <v>18.448850118953203</v>
      </c>
      <c r="Y71" s="16">
        <f>X71/W71*100</f>
        <v>3.7369546325611713</v>
      </c>
    </row>
    <row r="72" spans="1:25" s="18" customFormat="1" ht="15" customHeight="1" x14ac:dyDescent="0.2">
      <c r="A72" s="19" t="s">
        <v>62</v>
      </c>
      <c r="B72" s="16">
        <f>(1000*B25)/B69</f>
        <v>2680.581706959988</v>
      </c>
      <c r="C72" s="16">
        <f>(1000*C25)/C69</f>
        <v>2674.0027495700824</v>
      </c>
      <c r="D72" s="16">
        <f>B72-C72</f>
        <v>6.578957389905554</v>
      </c>
      <c r="E72" s="16">
        <f>D72/C72*100</f>
        <v>0.24603405478783813</v>
      </c>
      <c r="F72" s="16"/>
      <c r="G72" s="16">
        <f>(1000*G25)/G69</f>
        <v>1212.3890771639799</v>
      </c>
      <c r="H72" s="16">
        <f>(1000*H25)/H69</f>
        <v>1487.3271765772492</v>
      </c>
      <c r="I72" s="16">
        <f>G72-H72</f>
        <v>-274.93809941326936</v>
      </c>
      <c r="J72" s="16">
        <f>I72/H72*100</f>
        <v>-18.485381276094063</v>
      </c>
      <c r="K72" s="16"/>
      <c r="L72" s="16">
        <f>(1000*L25)/L69</f>
        <v>749.51649328499821</v>
      </c>
      <c r="M72" s="16">
        <f>(1000*M25)/M69</f>
        <v>782.2337836210969</v>
      </c>
      <c r="N72" s="16">
        <f>L72-M72</f>
        <v>-32.717290336098699</v>
      </c>
      <c r="O72" s="16">
        <f>N72/M72*100</f>
        <v>-4.1825463206977131</v>
      </c>
      <c r="P72" s="16"/>
      <c r="Q72" s="16">
        <f>(1000*Q25)/Q69</f>
        <v>1657.2208506914433</v>
      </c>
      <c r="R72" s="16">
        <f>(1000*R25)/R69</f>
        <v>1617.1890213963966</v>
      </c>
      <c r="S72" s="16">
        <f>Q72-R72</f>
        <v>40.031829295046691</v>
      </c>
      <c r="T72" s="16">
        <f>S72/R72*100</f>
        <v>2.4753958112132342</v>
      </c>
      <c r="U72" s="16"/>
      <c r="V72" s="16">
        <f>(1000*V25)/V69</f>
        <v>1539.4157664489019</v>
      </c>
      <c r="W72" s="16">
        <f>(1000*W25)/W69</f>
        <v>1616.2646842527136</v>
      </c>
      <c r="X72" s="16">
        <f>V72-W72</f>
        <v>-76.848917803811673</v>
      </c>
      <c r="Y72" s="16">
        <f>X72/W72*100</f>
        <v>-4.7547235643116883</v>
      </c>
    </row>
    <row r="73" spans="1:25" s="18" customFormat="1" x14ac:dyDescent="0.2">
      <c r="A73" s="19" t="s">
        <v>63</v>
      </c>
      <c r="B73" s="16">
        <v>140402</v>
      </c>
      <c r="C73" s="16">
        <v>126529</v>
      </c>
      <c r="D73" s="16">
        <f>B73-C73</f>
        <v>13873</v>
      </c>
      <c r="E73" s="16">
        <f>D73/C73*100</f>
        <v>10.964284867500732</v>
      </c>
      <c r="F73" s="16"/>
      <c r="G73" s="16">
        <v>59320</v>
      </c>
      <c r="H73" s="16">
        <v>50461</v>
      </c>
      <c r="I73" s="16">
        <f>G73-H73</f>
        <v>8859</v>
      </c>
      <c r="J73" s="16">
        <f>I73/H73*100</f>
        <v>17.556132458730506</v>
      </c>
      <c r="K73" s="16"/>
      <c r="L73" s="16">
        <v>31257</v>
      </c>
      <c r="M73" s="16">
        <v>31257</v>
      </c>
      <c r="N73" s="16">
        <f>L73-M73</f>
        <v>0</v>
      </c>
      <c r="O73" s="16">
        <f>N73/M73*100</f>
        <v>0</v>
      </c>
      <c r="P73" s="16"/>
      <c r="Q73" s="16">
        <v>62634</v>
      </c>
      <c r="R73" s="16">
        <v>54002</v>
      </c>
      <c r="S73" s="16">
        <f>Q73-R73</f>
        <v>8632</v>
      </c>
      <c r="T73" s="16">
        <f>S73/R73*100</f>
        <v>15.984593163216177</v>
      </c>
      <c r="U73" s="16"/>
      <c r="V73" s="16">
        <f>+B73+G73+L73+Q73</f>
        <v>293613</v>
      </c>
      <c r="W73" s="16">
        <f>+C73+H73+M73+R73</f>
        <v>262249</v>
      </c>
      <c r="X73" s="16">
        <f>V73-W73</f>
        <v>31364</v>
      </c>
      <c r="Y73" s="16">
        <f>X73/W73*100</f>
        <v>11.959626156820427</v>
      </c>
    </row>
    <row r="74" spans="1:25" x14ac:dyDescent="0.2">
      <c r="A74" s="2" t="s">
        <v>64</v>
      </c>
      <c r="B74" s="42" t="s">
        <v>65</v>
      </c>
      <c r="C74" s="42"/>
      <c r="D74" s="42"/>
      <c r="E74" s="42"/>
      <c r="F74" s="29"/>
      <c r="G74" s="42" t="s">
        <v>66</v>
      </c>
      <c r="H74" s="42"/>
      <c r="I74" s="42"/>
      <c r="J74" s="42"/>
      <c r="K74" s="29"/>
      <c r="L74" s="42" t="s">
        <v>65</v>
      </c>
      <c r="M74" s="42"/>
      <c r="N74" s="42"/>
      <c r="O74" s="42"/>
      <c r="P74" s="29"/>
      <c r="Q74" s="42" t="s">
        <v>66</v>
      </c>
      <c r="R74" s="42"/>
      <c r="S74" s="42"/>
      <c r="T74" s="42"/>
      <c r="U74" s="43"/>
      <c r="V74" s="29"/>
      <c r="W74" s="29"/>
      <c r="X74" s="29"/>
      <c r="Y74" s="29"/>
    </row>
    <row r="75" spans="1:25" x14ac:dyDescent="0.2">
      <c r="A75" s="15"/>
      <c r="D75" s="44"/>
      <c r="I75" s="44"/>
      <c r="N75" s="45"/>
      <c r="S75" s="44"/>
    </row>
    <row r="76" spans="1:25" x14ac:dyDescent="0.2">
      <c r="A76" s="2" t="s">
        <v>67</v>
      </c>
      <c r="B76" s="46">
        <f>+'[10]Summary 09_2024'!$P$91</f>
        <v>-485659.8578</v>
      </c>
      <c r="D76" s="44"/>
      <c r="G76" s="46">
        <f>+'[10]Summary 09_2024'!$P$92</f>
        <v>114130.97159000002</v>
      </c>
      <c r="I76" s="44"/>
      <c r="L76" s="46">
        <f>+'[10]Summary 09_2024'!$P$93</f>
        <v>52527.198269999993</v>
      </c>
      <c r="N76" s="45"/>
      <c r="Q76" s="46">
        <f>+'[10]Summary 09_2024'!$P$94</f>
        <v>61493.714720000004</v>
      </c>
      <c r="S76" s="44"/>
    </row>
    <row r="77" spans="1:25" s="47" customFormat="1" ht="15" customHeight="1" x14ac:dyDescent="0.2">
      <c r="A77" s="47" t="s">
        <v>68</v>
      </c>
      <c r="B77" s="48">
        <f>+B33+B15-B76</f>
        <v>-3.1000005546957254E-3</v>
      </c>
      <c r="G77" s="48">
        <f>+G33+G15-G76</f>
        <v>-3.5699994914466515E-3</v>
      </c>
      <c r="L77" s="48">
        <f>+L33+L15-L76</f>
        <v>8.3599996578413993E-3</v>
      </c>
      <c r="Q77" s="48">
        <f>+Q33+Q15-Q76</f>
        <v>5.0700004794634879E-3</v>
      </c>
    </row>
    <row r="78" spans="1:25" ht="15" customHeight="1" x14ac:dyDescent="0.2"/>
    <row r="79" spans="1:25" ht="15" customHeight="1" x14ac:dyDescent="0.25">
      <c r="A79" s="49" t="s">
        <v>69</v>
      </c>
      <c r="B79" s="46">
        <f>'[10]Summary 09_2024'!N91</f>
        <v>91.292532310109848</v>
      </c>
      <c r="C79" s="50">
        <f>IF(B79="NDA","0",B79)</f>
        <v>91.292532310109848</v>
      </c>
    </row>
    <row r="80" spans="1:25" ht="15" customHeight="1" x14ac:dyDescent="0.2">
      <c r="A80" s="2" t="str">
        <f>'[10]Summary 09_2024'!A91</f>
        <v>ZAMCELCO</v>
      </c>
      <c r="B80" s="46">
        <f>'[10]Summary 09_2024'!N92</f>
        <v>99.986142734079792</v>
      </c>
      <c r="C80" s="50">
        <f>IF(B80="NDA","0",B80)</f>
        <v>99.986142734079792</v>
      </c>
    </row>
    <row r="81" spans="1:17" ht="15" customHeight="1" x14ac:dyDescent="0.2">
      <c r="A81" s="2" t="str">
        <f>'[10]Summary 09_2024'!A92</f>
        <v>ZAMSURECO I</v>
      </c>
      <c r="B81" s="46">
        <f>'[10]Summary 09_2024'!N93</f>
        <v>89.49152502658994</v>
      </c>
      <c r="C81" s="50">
        <f>IF(B81="NDA","0",B81)</f>
        <v>89.49152502658994</v>
      </c>
    </row>
    <row r="82" spans="1:17" ht="15" customHeight="1" x14ac:dyDescent="0.2">
      <c r="A82" s="2" t="str">
        <f>'[10]Summary 09_2024'!A93</f>
        <v>ZAMSURECO II</v>
      </c>
      <c r="B82" s="46">
        <f>'[10]Summary 09_2024'!N94</f>
        <v>98.912693279746449</v>
      </c>
      <c r="C82" s="50">
        <f>IF(B82="NDA","0",B82)</f>
        <v>98.912693279746449</v>
      </c>
    </row>
    <row r="83" spans="1:17" ht="15" customHeight="1" x14ac:dyDescent="0.2">
      <c r="A83" s="2" t="str">
        <f>'[10]Summary 09_2024'!A94</f>
        <v>ZANECO</v>
      </c>
    </row>
    <row r="84" spans="1:17" ht="15" customHeight="1" x14ac:dyDescent="0.2"/>
    <row r="85" spans="1:17" ht="15" customHeight="1" x14ac:dyDescent="0.2">
      <c r="A85" s="2" t="s">
        <v>70</v>
      </c>
      <c r="B85" s="46">
        <f>+'[10]Summary 09_2024'!$S$91</f>
        <v>238534.06703000001</v>
      </c>
      <c r="D85" s="44"/>
      <c r="G85" s="46">
        <f>+'[10]Summary 09_2024'!$S$92</f>
        <v>342260.43177999998</v>
      </c>
      <c r="I85" s="44"/>
      <c r="L85" s="46">
        <f>+'[10]Summary 09_2024'!$S$93</f>
        <v>19212.338680000001</v>
      </c>
      <c r="N85" s="45"/>
      <c r="Q85" s="46">
        <f>+'[10]Summary 09_2024'!$S$94</f>
        <v>81344.118519999989</v>
      </c>
    </row>
    <row r="86" spans="1:17" ht="15" customHeight="1" x14ac:dyDescent="0.2">
      <c r="A86" s="51" t="s">
        <v>68</v>
      </c>
      <c r="B86" s="52">
        <f>B38-B85</f>
        <v>2.9700000013690442E-3</v>
      </c>
      <c r="G86" s="52">
        <f>G38-G85</f>
        <v>-1.7799999914132059E-3</v>
      </c>
      <c r="L86" s="52">
        <f>L38-L85</f>
        <v>1.3199999993958045E-3</v>
      </c>
      <c r="Q86" s="52">
        <f>Q38-Q85</f>
        <v>1.4800000062678009E-3</v>
      </c>
    </row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  <row r="95" spans="1:17" ht="15" customHeight="1" x14ac:dyDescent="0.2"/>
    <row r="96" spans="1:17" ht="15" customHeight="1" x14ac:dyDescent="0.2">
      <c r="A96" s="2">
        <v>1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D9:E9"/>
    <mergeCell ref="I9:J9"/>
    <mergeCell ref="N9:O9"/>
    <mergeCell ref="S9:T9"/>
    <mergeCell ref="X9:Y9"/>
    <mergeCell ref="B74:E74"/>
    <mergeCell ref="G74:J74"/>
    <mergeCell ref="L74:O74"/>
    <mergeCell ref="Q74:T74"/>
    <mergeCell ref="B5:E5"/>
    <mergeCell ref="G5:J5"/>
    <mergeCell ref="L5:O5"/>
    <mergeCell ref="Q5:T5"/>
    <mergeCell ref="V5:Y5"/>
    <mergeCell ref="B7:E7"/>
    <mergeCell ref="G7:J7"/>
    <mergeCell ref="L7:O7"/>
    <mergeCell ref="Q7:T7"/>
    <mergeCell ref="V7:Y7"/>
  </mergeCells>
  <pageMargins left="0.77" right="0" top="0.5" bottom="0" header="0.5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REG9</vt:lpstr>
      <vt:lpstr>'REG9'!Print_Titles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2025-01-22T07:42:17Z</dcterms:created>
  <dcterms:modified xsi:type="dcterms:W3CDTF">2025-01-22T07:42:26Z</dcterms:modified>
</cp:coreProperties>
</file>