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Titles" localSheetId="0">'REG9'!$A:$A,'REG9'!$2:$6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9" i="1" l="1"/>
  <c r="V78" i="1" l="1"/>
  <c r="R78" i="1"/>
  <c r="S78" i="1" s="1"/>
  <c r="T78" i="1" s="1"/>
  <c r="N78" i="1"/>
  <c r="O78" i="1" s="1"/>
  <c r="H78" i="1"/>
  <c r="W78" i="1" s="1"/>
  <c r="D78" i="1"/>
  <c r="E78" i="1" s="1"/>
  <c r="Q77" i="1"/>
  <c r="N77" i="1"/>
  <c r="O77" i="1" s="1"/>
  <c r="M77" i="1"/>
  <c r="L77" i="1"/>
  <c r="G77" i="1"/>
  <c r="B77" i="1"/>
  <c r="Q76" i="1"/>
  <c r="M76" i="1"/>
  <c r="L76" i="1"/>
  <c r="N76" i="1" s="1"/>
  <c r="O76" i="1" s="1"/>
  <c r="G76" i="1"/>
  <c r="B76" i="1"/>
  <c r="V75" i="1"/>
  <c r="T75" i="1"/>
  <c r="S75" i="1"/>
  <c r="N75" i="1"/>
  <c r="O75" i="1" s="1"/>
  <c r="I75" i="1"/>
  <c r="J75" i="1" s="1"/>
  <c r="C75" i="1"/>
  <c r="D75" i="1" s="1"/>
  <c r="E75" i="1" s="1"/>
  <c r="V74" i="1"/>
  <c r="R74" i="1"/>
  <c r="S74" i="1" s="1"/>
  <c r="T74" i="1" s="1"/>
  <c r="N74" i="1"/>
  <c r="O74" i="1" s="1"/>
  <c r="H74" i="1"/>
  <c r="H76" i="1" s="1"/>
  <c r="I76" i="1" s="1"/>
  <c r="J76" i="1" s="1"/>
  <c r="C74" i="1"/>
  <c r="W74" i="1" s="1"/>
  <c r="V73" i="1"/>
  <c r="T73" i="1"/>
  <c r="R73" i="1"/>
  <c r="O73" i="1"/>
  <c r="M73" i="1"/>
  <c r="H73" i="1"/>
  <c r="J73" i="1" s="1"/>
  <c r="C73" i="1"/>
  <c r="E73" i="1" s="1"/>
  <c r="Y72" i="1"/>
  <c r="T72" i="1"/>
  <c r="O72" i="1"/>
  <c r="J72" i="1"/>
  <c r="E72" i="1"/>
  <c r="Q71" i="1"/>
  <c r="N71" i="1"/>
  <c r="O71" i="1" s="1"/>
  <c r="M71" i="1"/>
  <c r="L71" i="1"/>
  <c r="G71" i="1"/>
  <c r="E71" i="1"/>
  <c r="C71" i="1"/>
  <c r="B71" i="1"/>
  <c r="D71" i="1" s="1"/>
  <c r="Q70" i="1"/>
  <c r="O70" i="1"/>
  <c r="M70" i="1"/>
  <c r="L70" i="1"/>
  <c r="N70" i="1" s="1"/>
  <c r="G70" i="1"/>
  <c r="B70" i="1"/>
  <c r="Q69" i="1"/>
  <c r="M69" i="1"/>
  <c r="L69" i="1"/>
  <c r="O69" i="1" s="1"/>
  <c r="G69" i="1"/>
  <c r="B69" i="1"/>
  <c r="V68" i="1"/>
  <c r="S68" i="1"/>
  <c r="T68" i="1" s="1"/>
  <c r="O68" i="1"/>
  <c r="N68" i="1"/>
  <c r="I68" i="1"/>
  <c r="J68" i="1" s="1"/>
  <c r="C68" i="1"/>
  <c r="V67" i="1"/>
  <c r="N67" i="1"/>
  <c r="O67" i="1" s="1"/>
  <c r="I67" i="1"/>
  <c r="J67" i="1" s="1"/>
  <c r="C67" i="1"/>
  <c r="D67" i="1" s="1"/>
  <c r="E67" i="1" s="1"/>
  <c r="V66" i="1"/>
  <c r="O66" i="1"/>
  <c r="N66" i="1"/>
  <c r="E66" i="1"/>
  <c r="D66" i="1"/>
  <c r="W62" i="1"/>
  <c r="Q62" i="1"/>
  <c r="S62" i="1" s="1"/>
  <c r="T62" i="1" s="1"/>
  <c r="L62" i="1"/>
  <c r="N62" i="1" s="1"/>
  <c r="O62" i="1" s="1"/>
  <c r="G62" i="1"/>
  <c r="I62" i="1" s="1"/>
  <c r="J62" i="1" s="1"/>
  <c r="B62" i="1"/>
  <c r="D62" i="1" s="1"/>
  <c r="E62" i="1" s="1"/>
  <c r="W61" i="1"/>
  <c r="Q61" i="1"/>
  <c r="S61" i="1" s="1"/>
  <c r="T61" i="1" s="1"/>
  <c r="L61" i="1"/>
  <c r="N61" i="1" s="1"/>
  <c r="O61" i="1" s="1"/>
  <c r="G61" i="1"/>
  <c r="I61" i="1" s="1"/>
  <c r="J61" i="1" s="1"/>
  <c r="B61" i="1"/>
  <c r="D61" i="1" s="1"/>
  <c r="E61" i="1" s="1"/>
  <c r="V60" i="1"/>
  <c r="X60" i="1" s="1"/>
  <c r="Y60" i="1" s="1"/>
  <c r="Q60" i="1"/>
  <c r="S60" i="1" s="1"/>
  <c r="T60" i="1" s="1"/>
  <c r="L60" i="1"/>
  <c r="N60" i="1" s="1"/>
  <c r="O60" i="1" s="1"/>
  <c r="G60" i="1"/>
  <c r="I60" i="1" s="1"/>
  <c r="J60" i="1" s="1"/>
  <c r="B60" i="1"/>
  <c r="D60" i="1" s="1"/>
  <c r="E60" i="1" s="1"/>
  <c r="W59" i="1"/>
  <c r="Q59" i="1"/>
  <c r="S59" i="1" s="1"/>
  <c r="T59" i="1" s="1"/>
  <c r="L59" i="1"/>
  <c r="N59" i="1" s="1"/>
  <c r="O59" i="1" s="1"/>
  <c r="G59" i="1"/>
  <c r="I59" i="1" s="1"/>
  <c r="J59" i="1" s="1"/>
  <c r="B59" i="1"/>
  <c r="D59" i="1" s="1"/>
  <c r="E59" i="1" s="1"/>
  <c r="W58" i="1"/>
  <c r="Q58" i="1"/>
  <c r="S58" i="1" s="1"/>
  <c r="T58" i="1" s="1"/>
  <c r="N58" i="1"/>
  <c r="O58" i="1" s="1"/>
  <c r="L58" i="1"/>
  <c r="G58" i="1"/>
  <c r="I58" i="1" s="1"/>
  <c r="J58" i="1" s="1"/>
  <c r="B58" i="1"/>
  <c r="D58" i="1" s="1"/>
  <c r="E58" i="1" s="1"/>
  <c r="R55" i="1"/>
  <c r="Q55" i="1"/>
  <c r="S55" i="1" s="1"/>
  <c r="T55" i="1" s="1"/>
  <c r="O55" i="1"/>
  <c r="N55" i="1"/>
  <c r="M55" i="1"/>
  <c r="L55" i="1"/>
  <c r="H55" i="1"/>
  <c r="G55" i="1"/>
  <c r="I55" i="1" s="1"/>
  <c r="J55" i="1" s="1"/>
  <c r="C55" i="1"/>
  <c r="W55" i="1" s="1"/>
  <c r="B55" i="1"/>
  <c r="D55" i="1" s="1"/>
  <c r="E55" i="1" s="1"/>
  <c r="W54" i="1"/>
  <c r="V54" i="1"/>
  <c r="X54" i="1" s="1"/>
  <c r="Y54" i="1" s="1"/>
  <c r="S54" i="1"/>
  <c r="T54" i="1" s="1"/>
  <c r="N54" i="1"/>
  <c r="O54" i="1" s="1"/>
  <c r="J54" i="1"/>
  <c r="I54" i="1"/>
  <c r="E54" i="1"/>
  <c r="D54" i="1"/>
  <c r="X53" i="1"/>
  <c r="Y53" i="1" s="1"/>
  <c r="W53" i="1"/>
  <c r="V53" i="1"/>
  <c r="S53" i="1"/>
  <c r="T53" i="1" s="1"/>
  <c r="N53" i="1"/>
  <c r="O53" i="1" s="1"/>
  <c r="I53" i="1"/>
  <c r="D53" i="1"/>
  <c r="E53" i="1" s="1"/>
  <c r="W52" i="1"/>
  <c r="V52" i="1"/>
  <c r="X52" i="1" s="1"/>
  <c r="Y52" i="1" s="1"/>
  <c r="T52" i="1"/>
  <c r="S52" i="1"/>
  <c r="N52" i="1"/>
  <c r="O52" i="1" s="1"/>
  <c r="I52" i="1"/>
  <c r="J52" i="1" s="1"/>
  <c r="D52" i="1"/>
  <c r="E52" i="1" s="1"/>
  <c r="R51" i="1"/>
  <c r="Q51" i="1"/>
  <c r="S51" i="1" s="1"/>
  <c r="T51" i="1" s="1"/>
  <c r="N51" i="1"/>
  <c r="O51" i="1" s="1"/>
  <c r="M51" i="1"/>
  <c r="L51" i="1"/>
  <c r="H51" i="1"/>
  <c r="G51" i="1"/>
  <c r="I51" i="1" s="1"/>
  <c r="J51" i="1" s="1"/>
  <c r="E51" i="1"/>
  <c r="C51" i="1"/>
  <c r="B51" i="1"/>
  <c r="D51" i="1" s="1"/>
  <c r="W50" i="1"/>
  <c r="V50" i="1"/>
  <c r="V51" i="1" s="1"/>
  <c r="S50" i="1"/>
  <c r="T50" i="1" s="1"/>
  <c r="N50" i="1"/>
  <c r="O50" i="1" s="1"/>
  <c r="J50" i="1"/>
  <c r="I50" i="1"/>
  <c r="D50" i="1"/>
  <c r="E50" i="1" s="1"/>
  <c r="V48" i="1"/>
  <c r="X48" i="1" s="1"/>
  <c r="Y48" i="1" s="1"/>
  <c r="R48" i="1"/>
  <c r="Q48" i="1"/>
  <c r="S48" i="1" s="1"/>
  <c r="T48" i="1" s="1"/>
  <c r="O48" i="1"/>
  <c r="M48" i="1"/>
  <c r="L48" i="1"/>
  <c r="N48" i="1" s="1"/>
  <c r="H48" i="1"/>
  <c r="G48" i="1"/>
  <c r="I48" i="1" s="1"/>
  <c r="J48" i="1" s="1"/>
  <c r="C48" i="1"/>
  <c r="B48" i="1"/>
  <c r="D48" i="1" s="1"/>
  <c r="E48" i="1" s="1"/>
  <c r="W47" i="1"/>
  <c r="W48" i="1" s="1"/>
  <c r="V47" i="1"/>
  <c r="X47" i="1" s="1"/>
  <c r="Y47" i="1" s="1"/>
  <c r="S47" i="1"/>
  <c r="T47" i="1" s="1"/>
  <c r="N47" i="1"/>
  <c r="O47" i="1" s="1"/>
  <c r="I47" i="1"/>
  <c r="J47" i="1" s="1"/>
  <c r="E47" i="1"/>
  <c r="D47" i="1"/>
  <c r="W40" i="1"/>
  <c r="V40" i="1"/>
  <c r="X40" i="1" s="1"/>
  <c r="Y40" i="1" s="1"/>
  <c r="S40" i="1"/>
  <c r="T40" i="1" s="1"/>
  <c r="N40" i="1"/>
  <c r="O40" i="1" s="1"/>
  <c r="I40" i="1"/>
  <c r="J40" i="1" s="1"/>
  <c r="D40" i="1"/>
  <c r="E40" i="1" s="1"/>
  <c r="W39" i="1"/>
  <c r="V39" i="1"/>
  <c r="X39" i="1" s="1"/>
  <c r="Y39" i="1" s="1"/>
  <c r="S39" i="1"/>
  <c r="T39" i="1" s="1"/>
  <c r="N39" i="1"/>
  <c r="O39" i="1" s="1"/>
  <c r="I39" i="1"/>
  <c r="D39" i="1"/>
  <c r="E39" i="1" s="1"/>
  <c r="W38" i="1"/>
  <c r="V38" i="1"/>
  <c r="X38" i="1" s="1"/>
  <c r="Y38" i="1" s="1"/>
  <c r="S38" i="1"/>
  <c r="T38" i="1" s="1"/>
  <c r="N38" i="1"/>
  <c r="O38" i="1" s="1"/>
  <c r="I38" i="1"/>
  <c r="J38" i="1" s="1"/>
  <c r="D38" i="1"/>
  <c r="E38" i="1" s="1"/>
  <c r="W32" i="1"/>
  <c r="V32" i="1"/>
  <c r="X32" i="1" s="1"/>
  <c r="Y32" i="1" s="1"/>
  <c r="S32" i="1"/>
  <c r="T32" i="1" s="1"/>
  <c r="N32" i="1"/>
  <c r="O32" i="1" s="1"/>
  <c r="I32" i="1"/>
  <c r="J32" i="1" s="1"/>
  <c r="E32" i="1"/>
  <c r="D32" i="1"/>
  <c r="Q31" i="1"/>
  <c r="Q30" i="1"/>
  <c r="B30" i="1"/>
  <c r="W29" i="1"/>
  <c r="V29" i="1"/>
  <c r="X29" i="1" s="1"/>
  <c r="Y29" i="1" s="1"/>
  <c r="S29" i="1"/>
  <c r="T29" i="1" s="1"/>
  <c r="O29" i="1"/>
  <c r="N29" i="1"/>
  <c r="I29" i="1"/>
  <c r="J29" i="1" s="1"/>
  <c r="E29" i="1"/>
  <c r="D29" i="1"/>
  <c r="W28" i="1"/>
  <c r="V28" i="1"/>
  <c r="X28" i="1" s="1"/>
  <c r="Y28" i="1" s="1"/>
  <c r="T28" i="1"/>
  <c r="S28" i="1"/>
  <c r="O28" i="1"/>
  <c r="N28" i="1"/>
  <c r="I28" i="1"/>
  <c r="J28" i="1" s="1"/>
  <c r="D28" i="1"/>
  <c r="E28" i="1" s="1"/>
  <c r="Q26" i="1"/>
  <c r="W25" i="1"/>
  <c r="V25" i="1"/>
  <c r="S25" i="1"/>
  <c r="T25" i="1" s="1"/>
  <c r="N25" i="1"/>
  <c r="O25" i="1" s="1"/>
  <c r="I25" i="1"/>
  <c r="J25" i="1" s="1"/>
  <c r="D25" i="1"/>
  <c r="E25" i="1" s="1"/>
  <c r="Q24" i="1"/>
  <c r="J24" i="1"/>
  <c r="B24" i="1"/>
  <c r="W23" i="1"/>
  <c r="V23" i="1"/>
  <c r="S23" i="1"/>
  <c r="T23" i="1" s="1"/>
  <c r="O23" i="1"/>
  <c r="N23" i="1"/>
  <c r="I23" i="1"/>
  <c r="J23" i="1" s="1"/>
  <c r="D23" i="1"/>
  <c r="E23" i="1" s="1"/>
  <c r="L22" i="1"/>
  <c r="L24" i="1" s="1"/>
  <c r="X21" i="1"/>
  <c r="Y21" i="1" s="1"/>
  <c r="W21" i="1"/>
  <c r="V21" i="1"/>
  <c r="S21" i="1"/>
  <c r="T21" i="1" s="1"/>
  <c r="N21" i="1"/>
  <c r="O21" i="1" s="1"/>
  <c r="J21" i="1"/>
  <c r="I21" i="1"/>
  <c r="E21" i="1"/>
  <c r="D21" i="1"/>
  <c r="V20" i="1"/>
  <c r="V22" i="1" s="1"/>
  <c r="R20" i="1"/>
  <c r="R22" i="1" s="1"/>
  <c r="Q20" i="1"/>
  <c r="Q22" i="1" s="1"/>
  <c r="Q27" i="1" s="1"/>
  <c r="M20" i="1"/>
  <c r="M22" i="1" s="1"/>
  <c r="L20" i="1"/>
  <c r="H20" i="1"/>
  <c r="H22" i="1" s="1"/>
  <c r="G20" i="1"/>
  <c r="G22" i="1" s="1"/>
  <c r="C20" i="1"/>
  <c r="C22" i="1" s="1"/>
  <c r="B20" i="1"/>
  <c r="B22" i="1" s="1"/>
  <c r="B27" i="1" s="1"/>
  <c r="W19" i="1"/>
  <c r="X19" i="1" s="1"/>
  <c r="Y19" i="1" s="1"/>
  <c r="V19" i="1"/>
  <c r="S19" i="1"/>
  <c r="T19" i="1" s="1"/>
  <c r="N19" i="1"/>
  <c r="O19" i="1" s="1"/>
  <c r="I19" i="1"/>
  <c r="J19" i="1" s="1"/>
  <c r="D19" i="1"/>
  <c r="E19" i="1" s="1"/>
  <c r="W18" i="1"/>
  <c r="X18" i="1" s="1"/>
  <c r="Y18" i="1" s="1"/>
  <c r="V18" i="1"/>
  <c r="S18" i="1"/>
  <c r="T18" i="1" s="1"/>
  <c r="N18" i="1"/>
  <c r="O18" i="1" s="1"/>
  <c r="I18" i="1"/>
  <c r="J18" i="1" s="1"/>
  <c r="D18" i="1"/>
  <c r="E18" i="1" s="1"/>
  <c r="W17" i="1"/>
  <c r="W20" i="1" s="1"/>
  <c r="W22" i="1" s="1"/>
  <c r="W27" i="1" s="1"/>
  <c r="W30" i="1" s="1"/>
  <c r="V17" i="1"/>
  <c r="S17" i="1"/>
  <c r="T17" i="1" s="1"/>
  <c r="N17" i="1"/>
  <c r="O17" i="1" s="1"/>
  <c r="I17" i="1"/>
  <c r="J17" i="1" s="1"/>
  <c r="E17" i="1"/>
  <c r="D17" i="1"/>
  <c r="W16" i="1"/>
  <c r="X16" i="1" s="1"/>
  <c r="Y16" i="1" s="1"/>
  <c r="V16" i="1"/>
  <c r="S16" i="1"/>
  <c r="T16" i="1" s="1"/>
  <c r="N16" i="1"/>
  <c r="O16" i="1" s="1"/>
  <c r="I16" i="1"/>
  <c r="J16" i="1" s="1"/>
  <c r="D16" i="1"/>
  <c r="E16" i="1" s="1"/>
  <c r="W15" i="1"/>
  <c r="X15" i="1" s="1"/>
  <c r="Y15" i="1" s="1"/>
  <c r="V15" i="1"/>
  <c r="S15" i="1"/>
  <c r="T15" i="1" s="1"/>
  <c r="N15" i="1"/>
  <c r="O15" i="1" s="1"/>
  <c r="I15" i="1"/>
  <c r="J15" i="1" s="1"/>
  <c r="D15" i="1"/>
  <c r="E15" i="1" s="1"/>
  <c r="W14" i="1"/>
  <c r="V14" i="1"/>
  <c r="S14" i="1"/>
  <c r="T14" i="1" s="1"/>
  <c r="N14" i="1"/>
  <c r="O14" i="1" s="1"/>
  <c r="I14" i="1"/>
  <c r="J14" i="1" s="1"/>
  <c r="E14" i="1"/>
  <c r="D14" i="1"/>
  <c r="A3" i="1"/>
  <c r="A2" i="1"/>
  <c r="C70" i="1" l="1"/>
  <c r="D70" i="1" s="1"/>
  <c r="E70" i="1" s="1"/>
  <c r="R76" i="1"/>
  <c r="S76" i="1" s="1"/>
  <c r="T76" i="1" s="1"/>
  <c r="W73" i="1"/>
  <c r="Y73" i="1" s="1"/>
  <c r="I78" i="1"/>
  <c r="J78" i="1" s="1"/>
  <c r="V62" i="1"/>
  <c r="X62" i="1" s="1"/>
  <c r="Y62" i="1" s="1"/>
  <c r="V59" i="1"/>
  <c r="X59" i="1" s="1"/>
  <c r="Y59" i="1" s="1"/>
  <c r="W33" i="1"/>
  <c r="W34" i="1" s="1"/>
  <c r="W31" i="1"/>
  <c r="C27" i="1"/>
  <c r="C30" i="1" s="1"/>
  <c r="C26" i="1"/>
  <c r="D22" i="1"/>
  <c r="E22" i="1" s="1"/>
  <c r="C24" i="1"/>
  <c r="E24" i="1"/>
  <c r="M24" i="1"/>
  <c r="O24" i="1" s="1"/>
  <c r="M27" i="1"/>
  <c r="M30" i="1" s="1"/>
  <c r="M26" i="1"/>
  <c r="G26" i="1"/>
  <c r="I22" i="1"/>
  <c r="J22" i="1" s="1"/>
  <c r="G27" i="1"/>
  <c r="H26" i="1"/>
  <c r="H27" i="1"/>
  <c r="H30" i="1" s="1"/>
  <c r="R26" i="1"/>
  <c r="T26" i="1" s="1"/>
  <c r="R24" i="1"/>
  <c r="T24" i="1" s="1"/>
  <c r="R27" i="1"/>
  <c r="V27" i="1"/>
  <c r="X22" i="1"/>
  <c r="Y22" i="1" s="1"/>
  <c r="X17" i="1"/>
  <c r="Y17" i="1" s="1"/>
  <c r="Q33" i="1"/>
  <c r="W68" i="1"/>
  <c r="X68" i="1" s="1"/>
  <c r="Y68" i="1" s="1"/>
  <c r="W24" i="1"/>
  <c r="D20" i="1"/>
  <c r="E20" i="1" s="1"/>
  <c r="H70" i="1"/>
  <c r="I70" i="1" s="1"/>
  <c r="J70" i="1" s="1"/>
  <c r="X20" i="1"/>
  <c r="Y20" i="1" s="1"/>
  <c r="L26" i="1"/>
  <c r="O26" i="1" s="1"/>
  <c r="X50" i="1"/>
  <c r="Y50" i="1" s="1"/>
  <c r="I20" i="1"/>
  <c r="J20" i="1" s="1"/>
  <c r="L27" i="1"/>
  <c r="R70" i="1"/>
  <c r="S70" i="1" s="1"/>
  <c r="T70" i="1" s="1"/>
  <c r="S67" i="1"/>
  <c r="T67" i="1" s="1"/>
  <c r="V61" i="1"/>
  <c r="X61" i="1" s="1"/>
  <c r="Y61" i="1" s="1"/>
  <c r="V70" i="1"/>
  <c r="C76" i="1"/>
  <c r="D76" i="1" s="1"/>
  <c r="E76" i="1" s="1"/>
  <c r="C77" i="1"/>
  <c r="D74" i="1"/>
  <c r="E74" i="1" s="1"/>
  <c r="V76" i="1"/>
  <c r="X74" i="1"/>
  <c r="Y74" i="1" s="1"/>
  <c r="D77" i="1"/>
  <c r="E77" i="1" s="1"/>
  <c r="X23" i="1"/>
  <c r="Y23" i="1" s="1"/>
  <c r="X14" i="1"/>
  <c r="Y14" i="1" s="1"/>
  <c r="N20" i="1"/>
  <c r="O20" i="1" s="1"/>
  <c r="W51" i="1"/>
  <c r="X51" i="1" s="1"/>
  <c r="Y51" i="1" s="1"/>
  <c r="V77" i="1"/>
  <c r="X25" i="1"/>
  <c r="Y25" i="1" s="1"/>
  <c r="V26" i="1"/>
  <c r="V58" i="1"/>
  <c r="X58" i="1" s="1"/>
  <c r="Y58" i="1" s="1"/>
  <c r="D68" i="1"/>
  <c r="E68" i="1" s="1"/>
  <c r="N22" i="1"/>
  <c r="O22" i="1" s="1"/>
  <c r="W77" i="1"/>
  <c r="W26" i="1"/>
  <c r="D30" i="1"/>
  <c r="E30" i="1" s="1"/>
  <c r="B33" i="1"/>
  <c r="B31" i="1"/>
  <c r="V55" i="1"/>
  <c r="X55" i="1" s="1"/>
  <c r="Y55" i="1" s="1"/>
  <c r="V69" i="1"/>
  <c r="S20" i="1"/>
  <c r="T20" i="1" s="1"/>
  <c r="S22" i="1"/>
  <c r="T22" i="1" s="1"/>
  <c r="V71" i="1"/>
  <c r="V24" i="1"/>
  <c r="Y24" i="1" s="1"/>
  <c r="B26" i="1"/>
  <c r="X78" i="1"/>
  <c r="Y78" i="1" s="1"/>
  <c r="W75" i="1"/>
  <c r="X75" i="1" s="1"/>
  <c r="Y75" i="1" s="1"/>
  <c r="R77" i="1"/>
  <c r="S77" i="1" s="1"/>
  <c r="T77" i="1" s="1"/>
  <c r="C69" i="1"/>
  <c r="E69" i="1" s="1"/>
  <c r="I74" i="1"/>
  <c r="J74" i="1" s="1"/>
  <c r="H77" i="1"/>
  <c r="I77" i="1" s="1"/>
  <c r="J77" i="1" s="1"/>
  <c r="W67" i="1"/>
  <c r="X67" i="1" s="1"/>
  <c r="Y67" i="1" s="1"/>
  <c r="W70" i="1" l="1"/>
  <c r="X70" i="1" s="1"/>
  <c r="Y70" i="1" s="1"/>
  <c r="M31" i="1"/>
  <c r="M33" i="1"/>
  <c r="B35" i="1"/>
  <c r="B34" i="1"/>
  <c r="S27" i="1"/>
  <c r="T27" i="1" s="1"/>
  <c r="R30" i="1"/>
  <c r="I66" i="1"/>
  <c r="J66" i="1" s="1"/>
  <c r="H71" i="1"/>
  <c r="I71" i="1" s="1"/>
  <c r="J71" i="1" s="1"/>
  <c r="H69" i="1"/>
  <c r="J69" i="1" s="1"/>
  <c r="W66" i="1"/>
  <c r="E26" i="1"/>
  <c r="W76" i="1"/>
  <c r="N27" i="1"/>
  <c r="O27" i="1" s="1"/>
  <c r="L30" i="1"/>
  <c r="C31" i="1"/>
  <c r="C33" i="1"/>
  <c r="R71" i="1"/>
  <c r="S71" i="1" s="1"/>
  <c r="T71" i="1" s="1"/>
  <c r="S66" i="1"/>
  <c r="T66" i="1" s="1"/>
  <c r="T69" i="1"/>
  <c r="Q35" i="1"/>
  <c r="Q34" i="1"/>
  <c r="G30" i="1"/>
  <c r="I27" i="1"/>
  <c r="J27" i="1" s="1"/>
  <c r="V30" i="1"/>
  <c r="X27" i="1"/>
  <c r="Y27" i="1" s="1"/>
  <c r="H33" i="1"/>
  <c r="H31" i="1"/>
  <c r="X76" i="1"/>
  <c r="Y76" i="1" s="1"/>
  <c r="E31" i="1"/>
  <c r="Y26" i="1"/>
  <c r="J26" i="1"/>
  <c r="D27" i="1"/>
  <c r="E27" i="1" s="1"/>
  <c r="X77" i="1"/>
  <c r="Y77" i="1" s="1"/>
  <c r="C35" i="1" l="1"/>
  <c r="C34" i="1"/>
  <c r="R33" i="1"/>
  <c r="R31" i="1"/>
  <c r="T31" i="1" s="1"/>
  <c r="S30" i="1"/>
  <c r="T30" i="1" s="1"/>
  <c r="H34" i="1"/>
  <c r="H35" i="1"/>
  <c r="E34" i="1"/>
  <c r="W69" i="1"/>
  <c r="Y69" i="1" s="1"/>
  <c r="X66" i="1"/>
  <c r="Y66" i="1" s="1"/>
  <c r="W71" i="1"/>
  <c r="X71" i="1" s="1"/>
  <c r="Y71" i="1" s="1"/>
  <c r="L31" i="1"/>
  <c r="O31" i="1" s="1"/>
  <c r="L33" i="1"/>
  <c r="N30" i="1"/>
  <c r="O30" i="1" s="1"/>
  <c r="D33" i="1"/>
  <c r="E33" i="1" s="1"/>
  <c r="V33" i="1"/>
  <c r="X30" i="1"/>
  <c r="Y30" i="1" s="1"/>
  <c r="V31" i="1"/>
  <c r="Y31" i="1" s="1"/>
  <c r="M35" i="1"/>
  <c r="M34" i="1"/>
  <c r="G33" i="1"/>
  <c r="G31" i="1"/>
  <c r="J31" i="1" s="1"/>
  <c r="I30" i="1"/>
  <c r="J30" i="1" s="1"/>
  <c r="I33" i="1" l="1"/>
  <c r="J33" i="1" s="1"/>
  <c r="G35" i="1"/>
  <c r="G34" i="1"/>
  <c r="J34" i="1" s="1"/>
  <c r="V34" i="1"/>
  <c r="Y34" i="1" s="1"/>
  <c r="X33" i="1"/>
  <c r="Y33" i="1" s="1"/>
  <c r="R34" i="1"/>
  <c r="T34" i="1" s="1"/>
  <c r="R35" i="1"/>
  <c r="S33" i="1"/>
  <c r="T33" i="1" s="1"/>
  <c r="L35" i="1"/>
  <c r="N33" i="1"/>
  <c r="O33" i="1" s="1"/>
  <c r="L34" i="1"/>
  <c r="O34" i="1" s="1"/>
</calcChain>
</file>

<file path=xl/sharedStrings.xml><?xml version="1.0" encoding="utf-8"?>
<sst xmlns="http://schemas.openxmlformats.org/spreadsheetml/2006/main" count="111" uniqueCount="76">
  <si>
    <t>REGION IX</t>
  </si>
  <si>
    <t>(In Thousand)</t>
  </si>
  <si>
    <t xml:space="preserve">       ZAMCELCO</t>
  </si>
  <si>
    <t>ZAMSURECO I</t>
  </si>
  <si>
    <t>ZAMSURECO II</t>
  </si>
  <si>
    <t>ZANECO</t>
  </si>
  <si>
    <t xml:space="preserve">       T O T A L</t>
  </si>
  <si>
    <t>ZAMCELCO</t>
  </si>
  <si>
    <t>Inc. / (March.)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</si>
  <si>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</si>
  <si>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</si>
  <si>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</si>
  <si>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</si>
  <si>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</si>
  <si>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</si>
  <si>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  Universal Charge</t>
  </si>
  <si>
    <t xml:space="preserve">              Value Added Tax</t>
  </si>
  <si>
    <t xml:space="preserve">              Other Taxes</t>
  </si>
  <si>
    <t xml:space="preserve">  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</si>
  <si>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</si>
  <si>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</si>
  <si>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</si>
  <si>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</si>
  <si>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</si>
  <si>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</si>
  <si>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</si>
  <si>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</si>
  <si>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</si>
  <si>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</si>
  <si>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</si>
  <si>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</si>
  <si>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</si>
  <si>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</si>
  <si>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</si>
  <si>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</si>
  <si>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</si>
  <si>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</si>
  <si>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</si>
  <si>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</si>
  <si>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</si>
  <si>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</si>
  <si>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</si>
  <si>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</si>
  <si>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</si>
  <si>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</si>
  <si>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</si>
  <si>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</si>
  <si>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</si>
  <si>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</si>
  <si>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</si>
  <si>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</si>
  <si>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</si>
  <si>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</si>
  <si>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</si>
  <si>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</si>
  <si>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</si>
  <si>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</si>
  <si>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</si>
  <si>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</si>
  <si>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</si>
  <si>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</si>
  <si>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</si>
  <si>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</si>
  <si>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</si>
  <si>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>52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</si>
  <si>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</si>
  <si>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</si>
  <si>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</si>
  <si>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</si>
  <si>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</si>
  <si>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</si>
  <si>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B - Mega Large</t>
  </si>
  <si>
    <t>AAA - Mega Large</t>
  </si>
  <si>
    <t>C - Mega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</si>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</sst>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sz val="11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3" fillId="0" borderId="0" xfId="1" applyNumberFormat="1" applyFont="1" applyFill="1"/>
    <xf numFmtId="43" fontId="3" fillId="0" borderId="0" xfId="1" applyNumberFormat="1" applyFont="1" applyFill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 vertical="top"/>
    </xf>
    <xf numFmtId="43" fontId="2" fillId="0" borderId="0" xfId="1" applyFont="1" applyFill="1"/>
    <xf numFmtId="43" fontId="2" fillId="0" borderId="0" xfId="1" applyFont="1" applyFill="1" applyAlignment="1">
      <alignment horizontal="left"/>
    </xf>
    <xf numFmtId="164" fontId="1" fillId="0" borderId="0" xfId="1" applyNumberFormat="1" applyFont="1" applyFill="1" applyAlignment="1">
      <alignment horizontal="left"/>
    </xf>
    <xf numFmtId="43" fontId="1" fillId="0" borderId="0" xfId="1" applyFont="1" applyFill="1" applyAlignment="1">
      <alignment horizontal="left"/>
    </xf>
    <xf numFmtId="164" fontId="11" fillId="0" borderId="0" xfId="1" applyNumberFormat="1" applyFont="1" applyFill="1" applyAlignment="1">
      <alignment horizontal="left"/>
    </xf>
    <xf numFmtId="43" fontId="7" fillId="0" borderId="0" xfId="1" applyFont="1" applyFill="1"/>
    <xf numFmtId="43" fontId="2" fillId="0" borderId="0" xfId="1" applyFont="1" applyFill="1" applyAlignment="1">
      <alignment horizontal="center"/>
    </xf>
    <xf numFmtId="43" fontId="2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right"/>
    </xf>
    <xf numFmtId="43" fontId="2" fillId="0" borderId="0" xfId="1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/>
    </xf>
    <xf numFmtId="164" fontId="9" fillId="0" borderId="0" xfId="1" applyNumberFormat="1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12" fillId="0" borderId="0" xfId="1" applyNumberFormat="1" applyFont="1" applyFill="1"/>
    <xf numFmtId="164" fontId="13" fillId="0" borderId="0" xfId="1" applyNumberFormat="1" applyFont="1" applyFill="1"/>
    <xf numFmtId="43" fontId="11" fillId="0" borderId="0" xfId="1" applyNumberFormat="1" applyFont="1" applyFill="1" applyAlignment="1">
      <alignment horizontal="left"/>
    </xf>
    <xf numFmtId="164" fontId="14" fillId="0" borderId="0" xfId="1" applyNumberFormat="1" applyFont="1" applyFill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2">
    <cellStyle name="Comma 1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sagunjgd\Desktop\Consolidated%20Financial%20Profile%20as%20of%20June%2030,%202023_juve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Power%20Market%20YT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\Desktop\aa\USB%20Drive\000_JUVEE's%20FILE%20(desktop)\COLLECTION%20EFFICIENCY\2022\02_June%202022%20COLL%20EFF%20final_juve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Financial%20and%20Statist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Financial Profile as of June 30, 2023</v>
          </cell>
        </row>
      </sheetData>
      <sheetData sheetId="7">
        <row r="2">
          <cell r="A2" t="str">
            <v>Financial Profile as of June 30, 2023</v>
          </cell>
        </row>
      </sheetData>
      <sheetData sheetId="8" refreshError="1"/>
      <sheetData sheetId="9" refreshError="1"/>
      <sheetData sheetId="10">
        <row r="2">
          <cell r="A2" t="str">
            <v>Financial Profile as of June 30, 2023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17">
        <row r="2">
          <cell r="A2" t="str">
            <v>Financial Profile as of June 30, 2023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20">
          <cell r="D120">
            <v>463836.18654000002</v>
          </cell>
          <cell r="E120">
            <v>472928.27518</v>
          </cell>
          <cell r="F120">
            <v>-9092.0886399999727</v>
          </cell>
          <cell r="I120">
            <v>-0.99999985041942752</v>
          </cell>
          <cell r="K120">
            <v>205113.99605000002</v>
          </cell>
        </row>
        <row r="121">
          <cell r="D121">
            <v>81911.395969999998</v>
          </cell>
          <cell r="E121">
            <v>84929.408510000008</v>
          </cell>
          <cell r="F121">
            <v>-3018.0125400000106</v>
          </cell>
          <cell r="I121">
            <v>-4.2490641538442189</v>
          </cell>
          <cell r="K121">
            <v>18616.27866</v>
          </cell>
        </row>
        <row r="122">
          <cell r="D122">
            <v>383918.72495</v>
          </cell>
          <cell r="E122">
            <v>383918.72495</v>
          </cell>
          <cell r="F122">
            <v>0</v>
          </cell>
          <cell r="I122">
            <v>0</v>
          </cell>
          <cell r="K122">
            <v>176182.326</v>
          </cell>
        </row>
        <row r="123">
          <cell r="D123">
            <v>305126.61129999999</v>
          </cell>
          <cell r="E123">
            <v>319370.99830000004</v>
          </cell>
          <cell r="F123">
            <v>-14244.387000000046</v>
          </cell>
          <cell r="I123">
            <v>-1.1451991739418186</v>
          </cell>
          <cell r="K123">
            <v>276710.61245000002</v>
          </cell>
        </row>
        <row r="124">
          <cell r="I124">
            <v>-0.98468072242408333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Market YTD"/>
      <sheetName val="Sheet1"/>
    </sheetNames>
    <sheetDataSet>
      <sheetData sheetId="0" refreshError="1"/>
      <sheetData sheetId="1" refreshError="1">
        <row r="13">
          <cell r="A13" t="str">
            <v>BATANELCO</v>
          </cell>
          <cell r="B13">
            <v>339509.8</v>
          </cell>
          <cell r="C13">
            <v>6.17829427514486</v>
          </cell>
          <cell r="E13">
            <v>5142292</v>
          </cell>
          <cell r="F13">
            <v>13401</v>
          </cell>
          <cell r="G13">
            <v>2278</v>
          </cell>
        </row>
        <row r="14">
          <cell r="A14" t="str">
            <v>CAGELCO I</v>
          </cell>
          <cell r="B14">
            <v>18577620</v>
          </cell>
          <cell r="C14">
            <v>11.296233287056401</v>
          </cell>
          <cell r="E14">
            <v>145681004</v>
          </cell>
          <cell r="F14">
            <v>199913</v>
          </cell>
          <cell r="G14">
            <v>68725.210000000006</v>
          </cell>
        </row>
        <row r="15">
          <cell r="A15" t="str">
            <v>CAGELCO II</v>
          </cell>
          <cell r="B15">
            <v>9635114.9000000004</v>
          </cell>
          <cell r="C15">
            <v>9.4590398951028494</v>
          </cell>
          <cell r="E15">
            <v>91999963</v>
          </cell>
          <cell r="F15">
            <v>226369</v>
          </cell>
          <cell r="G15">
            <v>41263.040000000001</v>
          </cell>
        </row>
        <row r="16">
          <cell r="A16" t="str">
            <v>ISELCO I</v>
          </cell>
          <cell r="B16">
            <v>30422881.59</v>
          </cell>
          <cell r="C16">
            <v>11.4368541107787</v>
          </cell>
          <cell r="E16">
            <v>235036428.81</v>
          </cell>
          <cell r="F16">
            <v>548118.69999999995</v>
          </cell>
          <cell r="G16">
            <v>99169.88</v>
          </cell>
        </row>
        <row r="17">
          <cell r="A17" t="str">
            <v>NUVELCO</v>
          </cell>
          <cell r="B17">
            <v>11307729.33</v>
          </cell>
          <cell r="C17">
            <v>7.0042831606013101</v>
          </cell>
          <cell r="E17">
            <v>149945221.05000001</v>
          </cell>
          <cell r="F17">
            <v>187258</v>
          </cell>
          <cell r="G17">
            <v>32152.34</v>
          </cell>
        </row>
        <row r="18">
          <cell r="A18" t="str">
            <v>QUIRELCO</v>
          </cell>
          <cell r="B18">
            <v>3332897.2</v>
          </cell>
          <cell r="C18">
            <v>11.359199638757399</v>
          </cell>
          <cell r="E18">
            <v>26008053.800000001</v>
          </cell>
          <cell r="F18">
            <v>0</v>
          </cell>
          <cell r="G18">
            <v>11992</v>
          </cell>
        </row>
        <row r="19">
          <cell r="B19">
            <v>73615752.819999993</v>
          </cell>
          <cell r="C19">
            <v>10.103674360157299</v>
          </cell>
          <cell r="E19">
            <v>653812962.65999997</v>
          </cell>
          <cell r="F19">
            <v>1175059.7</v>
          </cell>
          <cell r="G19">
            <v>255580.47</v>
          </cell>
        </row>
        <row r="20">
          <cell r="A20" t="str">
            <v>AURELCO</v>
          </cell>
          <cell r="B20">
            <v>2778554</v>
          </cell>
          <cell r="C20">
            <v>7.6948638273738696</v>
          </cell>
          <cell r="E20">
            <v>33259142</v>
          </cell>
          <cell r="F20">
            <v>71507</v>
          </cell>
          <cell r="G20">
            <v>13452</v>
          </cell>
        </row>
        <row r="21">
          <cell r="A21" t="str">
            <v>NEECO I</v>
          </cell>
          <cell r="B21">
            <v>12076911</v>
          </cell>
          <cell r="C21">
            <v>8.8137106822281996</v>
          </cell>
          <cell r="E21">
            <v>124727342</v>
          </cell>
          <cell r="F21">
            <v>219884</v>
          </cell>
          <cell r="G21">
            <v>46009.599999999999</v>
          </cell>
        </row>
        <row r="22">
          <cell r="A22" t="str">
            <v>NEECO II (AREA 1)</v>
          </cell>
          <cell r="B22">
            <v>16148259.869999999</v>
          </cell>
          <cell r="C22">
            <v>9.9776211225670295</v>
          </cell>
          <cell r="E22">
            <v>145439683.09999999</v>
          </cell>
          <cell r="F22">
            <v>256846.2</v>
          </cell>
          <cell r="G22">
            <v>56859.57</v>
          </cell>
        </row>
        <row r="23">
          <cell r="A23" t="str">
            <v>NEECO II (AREA 2)</v>
          </cell>
          <cell r="B23">
            <v>13474929.939999999</v>
          </cell>
          <cell r="C23">
            <v>8.0217904704001395</v>
          </cell>
          <cell r="E23">
            <v>154309057.41</v>
          </cell>
          <cell r="F23">
            <v>195094</v>
          </cell>
          <cell r="G23">
            <v>57219.12</v>
          </cell>
        </row>
        <row r="24">
          <cell r="A24" t="str">
            <v>PELCO I</v>
          </cell>
          <cell r="B24">
            <v>13600352.939999999</v>
          </cell>
          <cell r="C24">
            <v>6.3964381266740498</v>
          </cell>
          <cell r="E24">
            <v>198715428</v>
          </cell>
          <cell r="F24">
            <v>308068</v>
          </cell>
          <cell r="G24">
            <v>85779</v>
          </cell>
        </row>
        <row r="25">
          <cell r="A25" t="str">
            <v>PELCO II</v>
          </cell>
          <cell r="B25">
            <v>42146183.009999998</v>
          </cell>
          <cell r="C25">
            <v>10.877849658321701</v>
          </cell>
          <cell r="E25">
            <v>344940886.19</v>
          </cell>
          <cell r="F25">
            <v>362512.6</v>
          </cell>
          <cell r="G25">
            <v>136291.17000000001</v>
          </cell>
        </row>
        <row r="26">
          <cell r="A26" t="str">
            <v>PELCO III</v>
          </cell>
          <cell r="B26">
            <v>13155586.609999999</v>
          </cell>
          <cell r="C26">
            <v>8.3443659643878103</v>
          </cell>
          <cell r="E26">
            <v>144281525.38999999</v>
          </cell>
          <cell r="F26">
            <v>221201</v>
          </cell>
          <cell r="G26">
            <v>50823</v>
          </cell>
        </row>
        <row r="27">
          <cell r="A27" t="str">
            <v>PENELCO</v>
          </cell>
          <cell r="B27">
            <v>24645963.469999999</v>
          </cell>
          <cell r="C27">
            <v>6.3526101178627403</v>
          </cell>
          <cell r="E27">
            <v>362754713.13999999</v>
          </cell>
          <cell r="F27">
            <v>565262</v>
          </cell>
          <cell r="G27">
            <v>126991.45</v>
          </cell>
        </row>
        <row r="28">
          <cell r="A28" t="str">
            <v>PRESCO</v>
          </cell>
          <cell r="B28">
            <v>4341333</v>
          </cell>
          <cell r="C28">
            <v>10.0761990952495</v>
          </cell>
          <cell r="E28">
            <v>38703940</v>
          </cell>
          <cell r="F28">
            <v>39753</v>
          </cell>
          <cell r="G28">
            <v>14050.13</v>
          </cell>
        </row>
        <row r="29">
          <cell r="A29" t="str">
            <v>SAJELCO</v>
          </cell>
          <cell r="B29">
            <v>5344913</v>
          </cell>
          <cell r="C29">
            <v>8.9012990245982593</v>
          </cell>
          <cell r="E29">
            <v>54588597</v>
          </cell>
          <cell r="F29">
            <v>112928</v>
          </cell>
          <cell r="G29">
            <v>24641.05</v>
          </cell>
        </row>
        <row r="30">
          <cell r="A30" t="str">
            <v>TARELCO I</v>
          </cell>
          <cell r="B30">
            <v>16735288</v>
          </cell>
          <cell r="C30">
            <v>8.0486187264140696</v>
          </cell>
          <cell r="E30">
            <v>190837344</v>
          </cell>
          <cell r="F30">
            <v>354822</v>
          </cell>
          <cell r="G30">
            <v>70038.62</v>
          </cell>
        </row>
        <row r="31">
          <cell r="A31" t="str">
            <v>TARELCO II</v>
          </cell>
          <cell r="B31">
            <v>18013570</v>
          </cell>
          <cell r="C31">
            <v>7.9333770326890196</v>
          </cell>
          <cell r="E31">
            <v>208719741</v>
          </cell>
          <cell r="F31">
            <v>327245</v>
          </cell>
          <cell r="G31">
            <v>73311.839999999997</v>
          </cell>
        </row>
        <row r="32">
          <cell r="A32" t="str">
            <v>ZAMECO I</v>
          </cell>
          <cell r="B32">
            <v>7385199.5999999996</v>
          </cell>
          <cell r="C32">
            <v>8.4623560534989792</v>
          </cell>
          <cell r="E32">
            <v>79715387.5</v>
          </cell>
          <cell r="F32">
            <v>170612</v>
          </cell>
          <cell r="G32">
            <v>28238.78</v>
          </cell>
        </row>
        <row r="33">
          <cell r="A33" t="str">
            <v>ZAMECO II</v>
          </cell>
          <cell r="B33">
            <v>9914874.7400000002</v>
          </cell>
          <cell r="C33">
            <v>9.5074398475734796</v>
          </cell>
          <cell r="E33">
            <v>94147656.5</v>
          </cell>
          <cell r="F33">
            <v>222901</v>
          </cell>
          <cell r="G33">
            <v>34115.26</v>
          </cell>
        </row>
        <row r="34">
          <cell r="B34">
            <v>199761919.18000001</v>
          </cell>
          <cell r="C34">
            <v>8.3992480159551608</v>
          </cell>
          <cell r="E34">
            <v>2175140443.23</v>
          </cell>
          <cell r="F34">
            <v>3428635.8</v>
          </cell>
          <cell r="G34">
            <v>817820.59</v>
          </cell>
        </row>
        <row r="35">
          <cell r="B35">
            <v>273377672</v>
          </cell>
          <cell r="C35">
            <v>8.7989511186845899</v>
          </cell>
          <cell r="E35">
            <v>2828953405.8899999</v>
          </cell>
          <cell r="F35">
            <v>4603695.5</v>
          </cell>
          <cell r="G35">
            <v>1073401.06</v>
          </cell>
        </row>
        <row r="36">
          <cell r="A36" t="str">
            <v>AKELCO</v>
          </cell>
          <cell r="B36">
            <v>17635511.280000001</v>
          </cell>
          <cell r="C36">
            <v>9.9778642562550406</v>
          </cell>
          <cell r="E36">
            <v>159110842.72</v>
          </cell>
          <cell r="F36">
            <v>0</v>
          </cell>
          <cell r="G36">
            <v>60627</v>
          </cell>
        </row>
        <row r="37">
          <cell r="A37" t="str">
            <v>ANTECO</v>
          </cell>
          <cell r="B37">
            <v>6850319.0999999996</v>
          </cell>
          <cell r="C37">
            <v>8.0544167023278508</v>
          </cell>
          <cell r="E37">
            <v>78038313.900000006</v>
          </cell>
          <cell r="F37">
            <v>161835</v>
          </cell>
          <cell r="G37">
            <v>22730</v>
          </cell>
        </row>
        <row r="38">
          <cell r="A38" t="str">
            <v>CAPELCO</v>
          </cell>
          <cell r="B38">
            <v>15169016.949999999</v>
          </cell>
          <cell r="C38">
            <v>10.2325137256554</v>
          </cell>
          <cell r="E38">
            <v>132789987.14</v>
          </cell>
          <cell r="F38">
            <v>284305</v>
          </cell>
          <cell r="G38">
            <v>51125.760000000002</v>
          </cell>
        </row>
        <row r="39">
          <cell r="A39" t="str">
            <v>CENECO</v>
          </cell>
          <cell r="B39">
            <v>56266013</v>
          </cell>
          <cell r="C39">
            <v>11.753868403881899</v>
          </cell>
          <cell r="E39">
            <v>421999565</v>
          </cell>
          <cell r="F39">
            <v>436506</v>
          </cell>
          <cell r="G39">
            <v>164256</v>
          </cell>
        </row>
        <row r="40">
          <cell r="A40" t="str">
            <v>GUIMELCO</v>
          </cell>
          <cell r="B40">
            <v>2786549.5</v>
          </cell>
          <cell r="C40">
            <v>10.1035862978877</v>
          </cell>
          <cell r="E40">
            <v>24709039.5</v>
          </cell>
          <cell r="F40">
            <v>84217</v>
          </cell>
          <cell r="G40">
            <v>9997</v>
          </cell>
        </row>
        <row r="41">
          <cell r="A41" t="str">
            <v>ILECO I</v>
          </cell>
          <cell r="B41">
            <v>16622573.439999999</v>
          </cell>
          <cell r="C41">
            <v>8.2908496942533407</v>
          </cell>
          <cell r="E41">
            <v>183651186.52000001</v>
          </cell>
          <cell r="F41">
            <v>219242</v>
          </cell>
          <cell r="G41">
            <v>65800.42</v>
          </cell>
        </row>
        <row r="42">
          <cell r="A42" t="str">
            <v>ILECO II</v>
          </cell>
          <cell r="B42">
            <v>14739488.59</v>
          </cell>
          <cell r="C42">
            <v>11.2676495006049</v>
          </cell>
          <cell r="E42">
            <v>115904857.84</v>
          </cell>
          <cell r="F42">
            <v>168105.53</v>
          </cell>
          <cell r="G42">
            <v>42931.839999999997</v>
          </cell>
        </row>
        <row r="43">
          <cell r="A43" t="str">
            <v>ILECO III</v>
          </cell>
          <cell r="B43">
            <v>6261314.8200000003</v>
          </cell>
          <cell r="C43">
            <v>7.8973971391450002</v>
          </cell>
          <cell r="E43">
            <v>72838607.799999997</v>
          </cell>
          <cell r="F43">
            <v>183348.94</v>
          </cell>
          <cell r="G43">
            <v>26779.33</v>
          </cell>
        </row>
        <row r="44">
          <cell r="A44" t="str">
            <v>NOCECO</v>
          </cell>
          <cell r="B44">
            <v>24891830</v>
          </cell>
          <cell r="C44">
            <v>15.7293464741129</v>
          </cell>
          <cell r="E44">
            <v>133078184</v>
          </cell>
          <cell r="F44">
            <v>280871</v>
          </cell>
          <cell r="G44">
            <v>56487</v>
          </cell>
        </row>
        <row r="45">
          <cell r="A45" t="str">
            <v>NONECO</v>
          </cell>
          <cell r="B45">
            <v>16620322.310000001</v>
          </cell>
          <cell r="C45">
            <v>11.656581866165901</v>
          </cell>
          <cell r="E45">
            <v>125742229.72</v>
          </cell>
          <cell r="F45">
            <v>220604</v>
          </cell>
          <cell r="G45">
            <v>44038.18</v>
          </cell>
        </row>
        <row r="46">
          <cell r="B46">
            <v>177842938.99000001</v>
          </cell>
          <cell r="C46">
            <v>10.9257262160991</v>
          </cell>
          <cell r="E46">
            <v>1447862814.1400001</v>
          </cell>
          <cell r="F46">
            <v>2039034.47</v>
          </cell>
          <cell r="G46">
            <v>544772.53</v>
          </cell>
        </row>
        <row r="47">
          <cell r="B47">
            <v>177842938.99000001</v>
          </cell>
          <cell r="C47">
            <v>10.9257262160991</v>
          </cell>
          <cell r="E47">
            <v>1447862814.1400001</v>
          </cell>
          <cell r="F47">
            <v>2039034.47</v>
          </cell>
          <cell r="G47">
            <v>544772.53</v>
          </cell>
        </row>
        <row r="48">
          <cell r="A48" t="str">
            <v>ZAMCELCO</v>
          </cell>
          <cell r="B48">
            <v>81801186.280000001</v>
          </cell>
          <cell r="C48">
            <v>21.854275998649801</v>
          </cell>
          <cell r="E48">
            <v>292224766.01999998</v>
          </cell>
          <cell r="F48">
            <v>276936</v>
          </cell>
          <cell r="G48">
            <v>118070.77</v>
          </cell>
        </row>
        <row r="49">
          <cell r="A49" t="str">
            <v>ZAMSURECO I</v>
          </cell>
          <cell r="B49">
            <v>18915597.43</v>
          </cell>
          <cell r="C49">
            <v>12.3063596620434</v>
          </cell>
          <cell r="E49">
            <v>134211998.15000001</v>
          </cell>
          <cell r="F49">
            <v>578276.42000000004</v>
          </cell>
          <cell r="G49">
            <v>49729.71</v>
          </cell>
        </row>
        <row r="50">
          <cell r="A50" t="str">
            <v>ZANECO</v>
          </cell>
          <cell r="B50">
            <v>15206662.529999999</v>
          </cell>
          <cell r="C50">
            <v>10.187105355759099</v>
          </cell>
          <cell r="E50">
            <v>133761486.84999999</v>
          </cell>
          <cell r="F50">
            <v>305486.25</v>
          </cell>
          <cell r="G50">
            <v>49561.4</v>
          </cell>
        </row>
        <row r="51">
          <cell r="B51">
            <v>115923446.23999999</v>
          </cell>
          <cell r="C51">
            <v>17.1159691934443</v>
          </cell>
          <cell r="E51">
            <v>560198251.01999998</v>
          </cell>
          <cell r="F51">
            <v>1160698.67</v>
          </cell>
          <cell r="G51">
            <v>217361.88</v>
          </cell>
        </row>
        <row r="52">
          <cell r="A52" t="str">
            <v>BASELCO</v>
          </cell>
          <cell r="B52">
            <v>6807450.96</v>
          </cell>
          <cell r="C52">
            <v>22.165107786309399</v>
          </cell>
          <cell r="E52">
            <v>23806559.5</v>
          </cell>
          <cell r="F52">
            <v>98454.49</v>
          </cell>
          <cell r="G52">
            <v>12442</v>
          </cell>
        </row>
        <row r="53">
          <cell r="A53" t="str">
            <v>LASURECO</v>
          </cell>
          <cell r="B53">
            <v>36125483.420000002</v>
          </cell>
          <cell r="C53">
            <v>38.2989686578263</v>
          </cell>
          <cell r="E53">
            <v>58162544.579999998</v>
          </cell>
          <cell r="F53">
            <v>36923</v>
          </cell>
          <cell r="G53">
            <v>42610</v>
          </cell>
        </row>
        <row r="54">
          <cell r="A54" t="str">
            <v>MAGELCO</v>
          </cell>
          <cell r="B54">
            <v>14969359.43</v>
          </cell>
          <cell r="C54">
            <v>23.835623886672099</v>
          </cell>
          <cell r="E54">
            <v>47359746</v>
          </cell>
          <cell r="F54">
            <v>473359.91</v>
          </cell>
          <cell r="G54">
            <v>22455.43</v>
          </cell>
        </row>
        <row r="55">
          <cell r="A55" t="str">
            <v>SULECO</v>
          </cell>
          <cell r="B55">
            <v>3034917.99</v>
          </cell>
          <cell r="C55">
            <v>10.322398086777699</v>
          </cell>
          <cell r="E55">
            <v>26203419.010000002</v>
          </cell>
          <cell r="F55">
            <v>162951</v>
          </cell>
          <cell r="G55">
            <v>9410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COLL EFF YELLOW ECs"/>
      <sheetName val="02_June 2022 COLL EFF final_juv"/>
    </sheetNames>
    <sheetDataSet>
      <sheetData sheetId="0" refreshError="1">
        <row r="13">
          <cell r="D13">
            <v>94.019676557229076</v>
          </cell>
        </row>
        <row r="98">
          <cell r="D98">
            <v>98.18</v>
          </cell>
        </row>
        <row r="99">
          <cell r="D99">
            <v>99.579932987525098</v>
          </cell>
        </row>
        <row r="100">
          <cell r="D100">
            <v>91.147652484113124</v>
          </cell>
        </row>
        <row r="101">
          <cell r="D101">
            <v>93.661834066922154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d Statistical Data"/>
      <sheetName val="Sheet1"/>
    </sheetNames>
    <sheetDataSet>
      <sheetData sheetId="0" refreshError="1"/>
      <sheetData sheetId="1" refreshError="1">
        <row r="11">
          <cell r="A11" t="str">
            <v>Electric Cooperative</v>
          </cell>
          <cell r="C11" t="str">
            <v>Number of Employees</v>
          </cell>
          <cell r="D11" t="str">
            <v>Connection  (Actual Billed)</v>
          </cell>
        </row>
        <row r="12">
          <cell r="A12" t="str">
            <v>BATANELCO</v>
          </cell>
          <cell r="C12">
            <v>65</v>
          </cell>
          <cell r="D12">
            <v>7064</v>
          </cell>
        </row>
        <row r="13">
          <cell r="A13" t="str">
            <v>CAGELCO I</v>
          </cell>
          <cell r="C13">
            <v>326</v>
          </cell>
          <cell r="D13">
            <v>156724</v>
          </cell>
        </row>
        <row r="14">
          <cell r="A14" t="str">
            <v>CAGELCO II</v>
          </cell>
          <cell r="C14">
            <v>280</v>
          </cell>
          <cell r="D14">
            <v>136418</v>
          </cell>
        </row>
        <row r="15">
          <cell r="A15" t="str">
            <v>ISELCO I</v>
          </cell>
          <cell r="C15">
            <v>401</v>
          </cell>
          <cell r="D15">
            <v>221952</v>
          </cell>
        </row>
        <row r="16">
          <cell r="A16" t="str">
            <v>ISELCO II</v>
          </cell>
          <cell r="C16">
            <v>475</v>
          </cell>
          <cell r="D16">
            <v>0</v>
          </cell>
        </row>
        <row r="17">
          <cell r="A17" t="str">
            <v>NUVELCO</v>
          </cell>
          <cell r="C17">
            <v>341</v>
          </cell>
          <cell r="D17">
            <v>111008</v>
          </cell>
        </row>
        <row r="18">
          <cell r="A18" t="str">
            <v>QUIRELCO</v>
          </cell>
          <cell r="C18">
            <v>128</v>
          </cell>
          <cell r="D18">
            <v>51238</v>
          </cell>
        </row>
        <row r="19">
          <cell r="A19" t="str">
            <v>REGION II</v>
          </cell>
          <cell r="C19">
            <v>2016</v>
          </cell>
          <cell r="D19">
            <v>684404</v>
          </cell>
        </row>
        <row r="20">
          <cell r="A20" t="str">
            <v>AURELCO</v>
          </cell>
          <cell r="C20">
            <v>159</v>
          </cell>
          <cell r="D20">
            <v>58771</v>
          </cell>
        </row>
        <row r="21">
          <cell r="A21" t="str">
            <v>NEECO I</v>
          </cell>
          <cell r="C21">
            <v>206</v>
          </cell>
          <cell r="D21">
            <v>97461</v>
          </cell>
        </row>
        <row r="22">
          <cell r="A22" t="str">
            <v>NEECO II (AREA 1)</v>
          </cell>
          <cell r="C22">
            <v>264</v>
          </cell>
          <cell r="D22">
            <v>144627</v>
          </cell>
        </row>
        <row r="23">
          <cell r="A23" t="str">
            <v>NEECO II (AREA 2)</v>
          </cell>
          <cell r="C23">
            <v>249</v>
          </cell>
          <cell r="D23">
            <v>109383</v>
          </cell>
        </row>
        <row r="24">
          <cell r="A24" t="str">
            <v>PELCO I</v>
          </cell>
          <cell r="C24">
            <v>233</v>
          </cell>
          <cell r="D24">
            <v>118548</v>
          </cell>
        </row>
        <row r="25">
          <cell r="A25" t="str">
            <v>PELCO II</v>
          </cell>
          <cell r="C25">
            <v>539</v>
          </cell>
          <cell r="D25">
            <v>227644</v>
          </cell>
        </row>
        <row r="26">
          <cell r="A26" t="str">
            <v>PELCO III</v>
          </cell>
          <cell r="C26">
            <v>243</v>
          </cell>
          <cell r="D26">
            <v>75566</v>
          </cell>
        </row>
        <row r="27">
          <cell r="A27" t="str">
            <v>PENELCO</v>
          </cell>
          <cell r="C27">
            <v>448</v>
          </cell>
          <cell r="D27">
            <v>181340</v>
          </cell>
        </row>
        <row r="28">
          <cell r="A28" t="str">
            <v>PRESCO</v>
          </cell>
          <cell r="C28">
            <v>60</v>
          </cell>
          <cell r="D28">
            <v>25566</v>
          </cell>
        </row>
        <row r="29">
          <cell r="A29" t="str">
            <v>SAJELCO</v>
          </cell>
          <cell r="C29">
            <v>158</v>
          </cell>
          <cell r="D29">
            <v>40435</v>
          </cell>
        </row>
        <row r="30">
          <cell r="A30" t="str">
            <v>TARELCO I</v>
          </cell>
          <cell r="C30">
            <v>363</v>
          </cell>
          <cell r="D30">
            <v>188087</v>
          </cell>
        </row>
        <row r="31">
          <cell r="A31" t="str">
            <v>TARELCO II</v>
          </cell>
          <cell r="C31">
            <v>246</v>
          </cell>
          <cell r="D31">
            <v>117840</v>
          </cell>
        </row>
        <row r="32">
          <cell r="A32" t="str">
            <v>ZAMECO I</v>
          </cell>
          <cell r="C32">
            <v>146</v>
          </cell>
          <cell r="D32">
            <v>75179</v>
          </cell>
        </row>
        <row r="33">
          <cell r="A33" t="str">
            <v>ZAMECO II</v>
          </cell>
          <cell r="C33">
            <v>228</v>
          </cell>
          <cell r="D33">
            <v>88059</v>
          </cell>
        </row>
        <row r="34">
          <cell r="A34" t="str">
            <v>REGION III</v>
          </cell>
          <cell r="C34">
            <v>3542</v>
          </cell>
          <cell r="D34">
            <v>1548506</v>
          </cell>
        </row>
        <row r="35">
          <cell r="A35" t="str">
            <v>LUZON</v>
          </cell>
          <cell r="C35">
            <v>5558</v>
          </cell>
          <cell r="D35">
            <v>2232910</v>
          </cell>
        </row>
        <row r="36">
          <cell r="A36" t="str">
            <v>AKELCO</v>
          </cell>
          <cell r="C36">
            <v>398</v>
          </cell>
          <cell r="D36">
            <v>153517</v>
          </cell>
        </row>
        <row r="37">
          <cell r="A37" t="str">
            <v>ANTECO</v>
          </cell>
          <cell r="C37">
            <v>150</v>
          </cell>
          <cell r="D37">
            <v>116126</v>
          </cell>
        </row>
        <row r="38">
          <cell r="A38" t="str">
            <v>CAPELCO</v>
          </cell>
          <cell r="C38">
            <v>55</v>
          </cell>
          <cell r="D38">
            <v>174442</v>
          </cell>
        </row>
        <row r="39">
          <cell r="A39" t="str">
            <v>CENECO</v>
          </cell>
          <cell r="C39">
            <v>517</v>
          </cell>
          <cell r="D39">
            <v>213633</v>
          </cell>
        </row>
        <row r="40">
          <cell r="A40" t="str">
            <v>GUIMELCO</v>
          </cell>
          <cell r="C40">
            <v>135</v>
          </cell>
          <cell r="D40">
            <v>36023</v>
          </cell>
        </row>
        <row r="41">
          <cell r="A41" t="str">
            <v>ILECO I</v>
          </cell>
          <cell r="C41">
            <v>299</v>
          </cell>
          <cell r="D41">
            <v>153541</v>
          </cell>
        </row>
        <row r="42">
          <cell r="A42" t="str">
            <v>ILECO II</v>
          </cell>
          <cell r="C42">
            <v>449</v>
          </cell>
          <cell r="D42">
            <v>135975</v>
          </cell>
        </row>
        <row r="43">
          <cell r="A43" t="str">
            <v>ILECO III</v>
          </cell>
          <cell r="C43">
            <v>271</v>
          </cell>
          <cell r="D43">
            <v>109409</v>
          </cell>
        </row>
        <row r="44">
          <cell r="A44" t="str">
            <v>NOCECO</v>
          </cell>
          <cell r="C44">
            <v>394</v>
          </cell>
          <cell r="D44">
            <v>181333</v>
          </cell>
        </row>
        <row r="45">
          <cell r="A45" t="str">
            <v>NONECO</v>
          </cell>
          <cell r="C45">
            <v>340</v>
          </cell>
          <cell r="D45">
            <v>164016</v>
          </cell>
        </row>
        <row r="46">
          <cell r="A46" t="str">
            <v>REGION VI</v>
          </cell>
          <cell r="C46">
            <v>3008</v>
          </cell>
          <cell r="D46">
            <v>1438015</v>
          </cell>
        </row>
        <row r="47">
          <cell r="A47" t="str">
            <v>VISAYAS</v>
          </cell>
          <cell r="C47">
            <v>3008</v>
          </cell>
          <cell r="D47">
            <v>1438015</v>
          </cell>
        </row>
        <row r="48">
          <cell r="A48" t="str">
            <v>ZAMCELCO</v>
          </cell>
          <cell r="C48">
            <v>0</v>
          </cell>
          <cell r="D48">
            <v>122326</v>
          </cell>
        </row>
        <row r="49">
          <cell r="A49" t="str">
            <v>ZAMSURECO I</v>
          </cell>
          <cell r="C49">
            <v>412</v>
          </cell>
          <cell r="D49">
            <v>180064</v>
          </cell>
        </row>
        <row r="50">
          <cell r="A50" t="str">
            <v>ZAMSURECO II</v>
          </cell>
          <cell r="C50">
            <v>512</v>
          </cell>
          <cell r="D50">
            <v>0</v>
          </cell>
        </row>
        <row r="51">
          <cell r="A51" t="str">
            <v>ZANECO</v>
          </cell>
          <cell r="C51">
            <v>523</v>
          </cell>
          <cell r="D51">
            <v>168748</v>
          </cell>
        </row>
        <row r="52">
          <cell r="A52" t="str">
            <v>REGION IX</v>
          </cell>
          <cell r="C52">
            <v>1447</v>
          </cell>
          <cell r="D52">
            <v>471138</v>
          </cell>
        </row>
        <row r="53">
          <cell r="A53" t="str">
            <v>BASELCO</v>
          </cell>
          <cell r="C53">
            <v>259</v>
          </cell>
          <cell r="D53">
            <v>40070</v>
          </cell>
        </row>
        <row r="54">
          <cell r="A54" t="str">
            <v>CASELCO</v>
          </cell>
          <cell r="C54">
            <v>3</v>
          </cell>
          <cell r="D54">
            <v>0</v>
          </cell>
        </row>
        <row r="55">
          <cell r="A55" t="str">
            <v>LASURECO</v>
          </cell>
          <cell r="C55">
            <v>0</v>
          </cell>
          <cell r="D55">
            <v>90683</v>
          </cell>
        </row>
        <row r="56">
          <cell r="A56" t="str">
            <v>MAGELCO</v>
          </cell>
          <cell r="C56">
            <v>0</v>
          </cell>
          <cell r="D56">
            <v>54048</v>
          </cell>
        </row>
        <row r="57">
          <cell r="A57" t="str">
            <v>SIASELCO</v>
          </cell>
          <cell r="C57">
            <v>0</v>
          </cell>
          <cell r="D57">
            <v>0</v>
          </cell>
        </row>
        <row r="58">
          <cell r="A58" t="str">
            <v>SULECO</v>
          </cell>
          <cell r="C58">
            <v>76</v>
          </cell>
          <cell r="D58">
            <v>17500</v>
          </cell>
        </row>
        <row r="59">
          <cell r="A59" t="str">
            <v>TAWELCO</v>
          </cell>
          <cell r="C59">
            <v>0</v>
          </cell>
          <cell r="D59">
            <v>0</v>
          </cell>
        </row>
        <row r="60">
          <cell r="A60" t="str">
            <v>ARMM</v>
          </cell>
          <cell r="C60">
            <v>338</v>
          </cell>
          <cell r="D60">
            <v>202301</v>
          </cell>
        </row>
        <row r="61">
          <cell r="A61" t="str">
            <v>MINDANAO</v>
          </cell>
          <cell r="C61">
            <v>1785</v>
          </cell>
          <cell r="D61">
            <v>673439</v>
          </cell>
        </row>
        <row r="62">
          <cell r="A62" t="str">
            <v>NATIONAL</v>
          </cell>
          <cell r="C62">
            <v>10351</v>
          </cell>
          <cell r="D62">
            <v>4344364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97"/>
  <sheetViews>
    <sheetView tabSelected="1" zoomScale="80" zoomScaleNormal="80" workbookViewId="0">
      <pane xSplit="1" ySplit="10" topLeftCell="B62" activePane="bottomRight" state="frozen"/>
      <selection activeCell="C83" sqref="C83"/>
      <selection pane="topRight" activeCell="C83" sqref="C83"/>
      <selection pane="bottomLeft" activeCell="C83" sqref="C83"/>
      <selection pane="bottomRight" activeCell="A82" sqref="A82"/>
    </sheetView>
  </sheetViews>
  <sheetFormatPr defaultColWidth="12.5546875" defaultRowHeight="15" x14ac:dyDescent="0.25"/>
  <cols>
    <col min="1" max="1" width="45" style="2" customWidth="1"/>
    <col min="2" max="3" width="16.5546875" style="2" bestFit="1" customWidth="1"/>
    <col min="4" max="4" width="15.33203125" style="2" bestFit="1" customWidth="1"/>
    <col min="5" max="5" width="14.5546875" style="2" bestFit="1" customWidth="1"/>
    <col min="6" max="6" width="1.44140625" style="2" customWidth="1"/>
    <col min="7" max="8" width="16.5546875" style="2" bestFit="1" customWidth="1"/>
    <col min="9" max="9" width="14.5546875" style="2" bestFit="1" customWidth="1"/>
    <col min="10" max="10" width="11.6640625" style="2" bestFit="1" customWidth="1"/>
    <col min="11" max="11" width="1.44140625" style="2" customWidth="1"/>
    <col min="12" max="12" width="16.5546875" style="3" bestFit="1" customWidth="1"/>
    <col min="13" max="13" width="16.5546875" style="3" customWidth="1"/>
    <col min="14" max="14" width="14.5546875" style="3" bestFit="1" customWidth="1"/>
    <col min="15" max="15" width="13.109375" style="3" bestFit="1" customWidth="1"/>
    <col min="16" max="16" width="1.33203125" style="2" customWidth="1"/>
    <col min="17" max="18" width="16.5546875" style="2" bestFit="1" customWidth="1"/>
    <col min="19" max="19" width="14.5546875" style="2" bestFit="1" customWidth="1"/>
    <col min="20" max="20" width="11.88671875" style="2" bestFit="1" customWidth="1"/>
    <col min="21" max="21" width="1.44140625" style="2" customWidth="1"/>
    <col min="22" max="23" width="16.33203125" style="2" customWidth="1"/>
    <col min="24" max="24" width="14.33203125" style="2" customWidth="1"/>
    <col min="25" max="25" width="9.109375" style="2" customWidth="1"/>
    <col min="26" max="34" width="14.109375" style="2" customWidth="1"/>
    <col min="35" max="16384" width="12.5546875" style="2"/>
  </cols>
  <sheetData>
    <row r="1" spans="1:25" ht="17.25" customHeight="1" x14ac:dyDescent="0.3">
      <c r="A1" s="1" t="s">
        <v>0</v>
      </c>
    </row>
    <row r="2" spans="1:25" ht="17.25" customHeight="1" x14ac:dyDescent="0.3">
      <c r="A2" s="1" t="str">
        <f>+[4]REG8!A2</f>
        <v>Financial Profile as of June 30, 2023</v>
      </c>
    </row>
    <row r="3" spans="1:25" ht="17.25" customHeight="1" x14ac:dyDescent="0.3">
      <c r="A3" s="1" t="str">
        <f>+[4]REG8!A3</f>
        <v>With Comparative Figures as of June 30, 2022</v>
      </c>
    </row>
    <row r="4" spans="1:25" ht="17.25" customHeight="1" x14ac:dyDescent="0.3">
      <c r="A4" s="4" t="s">
        <v>1</v>
      </c>
    </row>
    <row r="5" spans="1:25" ht="15.6" x14ac:dyDescent="0.3">
      <c r="B5" s="38"/>
      <c r="C5" s="38"/>
      <c r="D5" s="38"/>
      <c r="E5" s="38"/>
      <c r="G5" s="38"/>
      <c r="H5" s="38"/>
      <c r="I5" s="38"/>
      <c r="J5" s="38"/>
      <c r="K5" s="5"/>
      <c r="L5" s="37"/>
      <c r="M5" s="37"/>
      <c r="N5" s="37"/>
      <c r="O5" s="37"/>
      <c r="P5" s="6"/>
      <c r="Q5" s="38"/>
      <c r="R5" s="38"/>
      <c r="S5" s="38"/>
      <c r="T5" s="38"/>
      <c r="U5" s="6"/>
      <c r="V5" s="36"/>
      <c r="W5" s="36"/>
      <c r="X5" s="36"/>
      <c r="Y5" s="36"/>
    </row>
    <row r="6" spans="1:25" ht="3" customHeight="1" x14ac:dyDescent="0.25"/>
    <row r="7" spans="1:25" ht="15.6" x14ac:dyDescent="0.3">
      <c r="B7" s="36" t="s">
        <v>2</v>
      </c>
      <c r="C7" s="36"/>
      <c r="D7" s="36"/>
      <c r="E7" s="36"/>
      <c r="F7" s="6"/>
      <c r="G7" s="36" t="s">
        <v>3</v>
      </c>
      <c r="H7" s="36"/>
      <c r="I7" s="36"/>
      <c r="J7" s="36"/>
      <c r="K7" s="5"/>
      <c r="L7" s="37" t="s">
        <v>4</v>
      </c>
      <c r="M7" s="37"/>
      <c r="N7" s="37"/>
      <c r="O7" s="37"/>
      <c r="P7" s="6"/>
      <c r="Q7" s="36" t="s">
        <v>5</v>
      </c>
      <c r="R7" s="36"/>
      <c r="S7" s="36"/>
      <c r="T7" s="36"/>
      <c r="U7" s="6"/>
      <c r="V7" s="36" t="s">
        <v>6</v>
      </c>
      <c r="W7" s="36"/>
      <c r="X7" s="36"/>
      <c r="Y7" s="36"/>
    </row>
    <row r="8" spans="1:25" s="7" customFormat="1" ht="9.9" customHeight="1" x14ac:dyDescent="0.25">
      <c r="B8" s="7" t="s">
        <v>7</v>
      </c>
      <c r="C8" s="7" t="s">
        <v>7</v>
      </c>
      <c r="G8" s="7" t="s">
        <v>3</v>
      </c>
      <c r="H8" s="7" t="s">
        <v>3</v>
      </c>
      <c r="L8" s="3"/>
      <c r="M8" s="3"/>
      <c r="N8" s="3"/>
      <c r="O8" s="3"/>
      <c r="Q8" s="7" t="s">
        <v>5</v>
      </c>
      <c r="R8" s="7" t="s">
        <v>5</v>
      </c>
    </row>
    <row r="9" spans="1:25" ht="17.100000000000001" customHeight="1" x14ac:dyDescent="0.25">
      <c r="B9" s="8">
        <v>2023</v>
      </c>
      <c r="C9" s="8">
        <v>2022</v>
      </c>
      <c r="D9" s="39" t="s">
        <v>8</v>
      </c>
      <c r="E9" s="39"/>
      <c r="G9" s="8">
        <v>2023</v>
      </c>
      <c r="H9" s="8">
        <v>2022</v>
      </c>
      <c r="I9" s="39" t="s">
        <v>8</v>
      </c>
      <c r="J9" s="39"/>
      <c r="L9" s="8">
        <v>2023</v>
      </c>
      <c r="M9" s="8">
        <v>2022</v>
      </c>
      <c r="N9" s="40" t="s">
        <v>8</v>
      </c>
      <c r="O9" s="40"/>
      <c r="P9" s="8"/>
      <c r="Q9" s="8">
        <v>2023</v>
      </c>
      <c r="R9" s="8">
        <v>2022</v>
      </c>
      <c r="S9" s="39" t="s">
        <v>8</v>
      </c>
      <c r="T9" s="39"/>
      <c r="U9" s="8"/>
      <c r="V9" s="8">
        <v>2023</v>
      </c>
      <c r="W9" s="8">
        <v>2022</v>
      </c>
      <c r="X9" s="39" t="s">
        <v>8</v>
      </c>
      <c r="Y9" s="39"/>
    </row>
    <row r="10" spans="1:25" ht="17.100000000000001" customHeight="1" x14ac:dyDescent="0.25">
      <c r="B10" s="8" t="s">
        <v>9</v>
      </c>
      <c r="C10" s="8" t="s">
        <v>9</v>
      </c>
      <c r="D10" s="8" t="s">
        <v>10</v>
      </c>
      <c r="E10" s="8" t="s">
        <v>11</v>
      </c>
      <c r="G10" s="8" t="s">
        <v>9</v>
      </c>
      <c r="H10" s="8" t="s">
        <v>9</v>
      </c>
      <c r="I10" s="8" t="s">
        <v>10</v>
      </c>
      <c r="J10" s="8" t="s">
        <v>11</v>
      </c>
      <c r="L10" s="9" t="s">
        <v>9</v>
      </c>
      <c r="M10" s="9" t="s">
        <v>9</v>
      </c>
      <c r="N10" s="9" t="s">
        <v>10</v>
      </c>
      <c r="O10" s="9" t="s">
        <v>11</v>
      </c>
      <c r="P10" s="8"/>
      <c r="Q10" s="8" t="s">
        <v>9</v>
      </c>
      <c r="R10" s="8" t="s">
        <v>9</v>
      </c>
      <c r="S10" s="8" t="s">
        <v>10</v>
      </c>
      <c r="T10" s="8" t="s">
        <v>11</v>
      </c>
      <c r="U10" s="8"/>
      <c r="V10" s="8" t="s">
        <v>9</v>
      </c>
      <c r="W10" s="8" t="s">
        <v>9</v>
      </c>
      <c r="X10" s="8" t="s">
        <v>10</v>
      </c>
      <c r="Y10" s="8" t="s">
        <v>11</v>
      </c>
    </row>
    <row r="11" spans="1:25" ht="15" customHeight="1" x14ac:dyDescent="0.25"/>
    <row r="12" spans="1:25" ht="15.6" x14ac:dyDescent="0.3">
      <c r="A12" s="1" t="s">
        <v>12</v>
      </c>
    </row>
    <row r="13" spans="1:25" ht="10.5" customHeight="1" x14ac:dyDescent="0.25"/>
    <row r="14" spans="1:25" s="11" customFormat="1" ht="15" customHeight="1" x14ac:dyDescent="0.25">
      <c r="A14" s="10" t="s">
        <v>13</v>
      </c>
      <c r="B14" s="11">
        <v>3721087.8669799999</v>
      </c>
      <c r="C14" s="11">
        <v>3545634.3550300002</v>
      </c>
      <c r="D14" s="11">
        <f t="shared" ref="D14:D23" si="0">B14-C14</f>
        <v>175453.51194999972</v>
      </c>
      <c r="E14" s="11">
        <f t="shared" ref="E14:E23" si="1">D14/C14*100</f>
        <v>4.9484378359853514</v>
      </c>
      <c r="G14" s="11">
        <v>2192073.7200799999</v>
      </c>
      <c r="H14" s="11">
        <v>1873258.5992399999</v>
      </c>
      <c r="I14" s="11">
        <f t="shared" ref="I14:I23" si="2">G14-H14</f>
        <v>318815.12083999999</v>
      </c>
      <c r="J14" s="11">
        <f t="shared" ref="J14:J23" si="3">I14/H14*100</f>
        <v>17.019279717672003</v>
      </c>
      <c r="L14" s="13">
        <v>1124049.9109999998</v>
      </c>
      <c r="M14" s="13">
        <v>989880.95326999994</v>
      </c>
      <c r="N14" s="13">
        <f t="shared" ref="N14:N23" si="4">L14-M14</f>
        <v>134168.95772999991</v>
      </c>
      <c r="O14" s="13">
        <f t="shared" ref="O14:O23" si="5">N14/M14*100</f>
        <v>13.554049836678086</v>
      </c>
      <c r="Q14" s="11">
        <v>1988551.4755099998</v>
      </c>
      <c r="R14" s="11">
        <v>1748059.2115</v>
      </c>
      <c r="S14" s="11">
        <f t="shared" ref="S14:S23" si="6">Q14-R14</f>
        <v>240492.26400999981</v>
      </c>
      <c r="T14" s="11">
        <f t="shared" ref="T14:T23" si="7">S14/R14*100</f>
        <v>13.757672647921046</v>
      </c>
      <c r="V14" s="11">
        <f t="shared" ref="V14:W19" si="8">+B14+G14+L14+Q14</f>
        <v>9025762.9735699985</v>
      </c>
      <c r="W14" s="11">
        <f t="shared" si="8"/>
        <v>8156833.1190399993</v>
      </c>
      <c r="X14" s="11">
        <f t="shared" ref="X14:X23" si="9">V14-W14</f>
        <v>868929.8545299992</v>
      </c>
      <c r="Y14" s="11">
        <f t="shared" ref="Y14:Y23" si="10">X14/W14*100</f>
        <v>10.65278450409521</v>
      </c>
    </row>
    <row r="15" spans="1:25" s="11" customFormat="1" ht="15" customHeight="1" x14ac:dyDescent="0.25">
      <c r="A15" s="15" t="s">
        <v>14</v>
      </c>
      <c r="B15" s="11">
        <v>47367.510580000002</v>
      </c>
      <c r="C15" s="11">
        <v>46077.888760000002</v>
      </c>
      <c r="D15" s="11">
        <f t="shared" si="0"/>
        <v>1289.6218200000003</v>
      </c>
      <c r="E15" s="11">
        <f t="shared" si="1"/>
        <v>2.7987866951046483</v>
      </c>
      <c r="G15" s="11">
        <v>39069.553079999998</v>
      </c>
      <c r="H15" s="11">
        <v>39143.095730000001</v>
      </c>
      <c r="I15" s="11">
        <f t="shared" si="2"/>
        <v>-73.54265000000305</v>
      </c>
      <c r="J15" s="11">
        <f t="shared" si="3"/>
        <v>-0.18788153728893392</v>
      </c>
      <c r="L15" s="13">
        <v>23285.552329999999</v>
      </c>
      <c r="M15" s="13">
        <v>22957.483130000001</v>
      </c>
      <c r="N15" s="13">
        <f t="shared" si="4"/>
        <v>328.06919999999809</v>
      </c>
      <c r="O15" s="13">
        <f t="shared" si="5"/>
        <v>1.4290294721867365</v>
      </c>
      <c r="Q15" s="11">
        <v>66193.36791999999</v>
      </c>
      <c r="R15" s="11">
        <v>60565.747010000006</v>
      </c>
      <c r="S15" s="11">
        <f t="shared" si="6"/>
        <v>5627.6209099999833</v>
      </c>
      <c r="T15" s="11">
        <f t="shared" si="7"/>
        <v>9.2917551385452359</v>
      </c>
      <c r="V15" s="11">
        <f t="shared" si="8"/>
        <v>175915.98390999998</v>
      </c>
      <c r="W15" s="11">
        <f t="shared" si="8"/>
        <v>168744.21463</v>
      </c>
      <c r="X15" s="11">
        <f t="shared" si="9"/>
        <v>7171.7692799999786</v>
      </c>
      <c r="Y15" s="11">
        <f t="shared" si="10"/>
        <v>4.2500830595735009</v>
      </c>
    </row>
    <row r="16" spans="1:25" s="11" customFormat="1" ht="15" customHeight="1" x14ac:dyDescent="0.25">
      <c r="A16" s="15" t="s">
        <v>15</v>
      </c>
      <c r="B16" s="11">
        <v>71825.131200000003</v>
      </c>
      <c r="C16" s="11">
        <v>89911.806000000011</v>
      </c>
      <c r="D16" s="11">
        <f t="shared" si="0"/>
        <v>-18086.674800000008</v>
      </c>
      <c r="E16" s="11">
        <f t="shared" si="1"/>
        <v>-20.116017689601303</v>
      </c>
      <c r="G16" s="11">
        <v>31945.20981</v>
      </c>
      <c r="H16" s="11">
        <v>40059.669600000001</v>
      </c>
      <c r="I16" s="11">
        <f t="shared" si="2"/>
        <v>-8114.4597900000008</v>
      </c>
      <c r="J16" s="11">
        <f t="shared" si="3"/>
        <v>-20.255932889671165</v>
      </c>
      <c r="L16" s="13">
        <v>19049.237759999996</v>
      </c>
      <c r="M16" s="13">
        <v>24183.966759999999</v>
      </c>
      <c r="N16" s="13">
        <f t="shared" si="4"/>
        <v>-5134.729000000003</v>
      </c>
      <c r="O16" s="13">
        <f t="shared" si="5"/>
        <v>-21.231955249346377</v>
      </c>
      <c r="Q16" s="11">
        <v>31787.167589999997</v>
      </c>
      <c r="R16" s="11">
        <v>39844.080919999993</v>
      </c>
      <c r="S16" s="11">
        <f t="shared" si="6"/>
        <v>-8056.9133299999958</v>
      </c>
      <c r="T16" s="11">
        <f t="shared" si="7"/>
        <v>-20.221104726137064</v>
      </c>
      <c r="V16" s="11">
        <f t="shared" si="8"/>
        <v>154606.74635999999</v>
      </c>
      <c r="W16" s="11">
        <f t="shared" si="8"/>
        <v>193999.52328000002</v>
      </c>
      <c r="X16" s="11">
        <f t="shared" si="9"/>
        <v>-39392.776920000033</v>
      </c>
      <c r="Y16" s="11">
        <f t="shared" si="10"/>
        <v>-20.30560501076301</v>
      </c>
    </row>
    <row r="17" spans="1:25" s="11" customFormat="1" ht="15" customHeight="1" x14ac:dyDescent="0.25">
      <c r="A17" s="15" t="s">
        <v>16</v>
      </c>
      <c r="B17" s="11">
        <v>347883.88962999999</v>
      </c>
      <c r="C17" s="11">
        <v>334413.76410999999</v>
      </c>
      <c r="D17" s="11">
        <f t="shared" si="0"/>
        <v>13470.125520000001</v>
      </c>
      <c r="E17" s="11">
        <f t="shared" si="1"/>
        <v>4.0279817895202488</v>
      </c>
      <c r="G17" s="11">
        <v>217916.67920000001</v>
      </c>
      <c r="H17" s="11">
        <v>157639.11645</v>
      </c>
      <c r="I17" s="11">
        <f t="shared" si="2"/>
        <v>60277.562750000012</v>
      </c>
      <c r="J17" s="11">
        <f t="shared" si="3"/>
        <v>38.237693858883596</v>
      </c>
      <c r="L17" s="13">
        <v>104694.52752999999</v>
      </c>
      <c r="M17" s="13">
        <v>87207.559770000007</v>
      </c>
      <c r="N17" s="13">
        <f t="shared" si="4"/>
        <v>17486.967759999985</v>
      </c>
      <c r="O17" s="13">
        <f t="shared" si="5"/>
        <v>20.052123699046124</v>
      </c>
      <c r="Q17" s="11">
        <v>188646.72339</v>
      </c>
      <c r="R17" s="11">
        <v>150097.05847999998</v>
      </c>
      <c r="S17" s="11">
        <f t="shared" si="6"/>
        <v>38549.664910000021</v>
      </c>
      <c r="T17" s="11">
        <f t="shared" si="7"/>
        <v>25.683158151388199</v>
      </c>
      <c r="V17" s="11">
        <f t="shared" si="8"/>
        <v>859141.81975000002</v>
      </c>
      <c r="W17" s="11">
        <f t="shared" si="8"/>
        <v>729357.49881000002</v>
      </c>
      <c r="X17" s="11">
        <f t="shared" si="9"/>
        <v>129784.32094000001</v>
      </c>
      <c r="Y17" s="11">
        <f t="shared" si="10"/>
        <v>17.794335583270563</v>
      </c>
    </row>
    <row r="18" spans="1:25" s="11" customFormat="1" ht="15" customHeight="1" x14ac:dyDescent="0.25">
      <c r="A18" s="15" t="s">
        <v>17</v>
      </c>
      <c r="B18" s="11">
        <v>702.98094999999989</v>
      </c>
      <c r="C18" s="11">
        <v>0.36201</v>
      </c>
      <c r="D18" s="11">
        <f t="shared" si="0"/>
        <v>702.61893999999984</v>
      </c>
      <c r="E18" s="11">
        <f t="shared" si="1"/>
        <v>194088.26827988174</v>
      </c>
      <c r="G18" s="11">
        <v>161.44443999999999</v>
      </c>
      <c r="H18" s="11">
        <v>1227.02199</v>
      </c>
      <c r="I18" s="11">
        <f t="shared" si="2"/>
        <v>-1065.57755</v>
      </c>
      <c r="J18" s="11">
        <f t="shared" si="3"/>
        <v>-86.842579732413753</v>
      </c>
      <c r="L18" s="13">
        <v>0</v>
      </c>
      <c r="M18" s="13">
        <v>0</v>
      </c>
      <c r="N18" s="13">
        <f t="shared" si="4"/>
        <v>0</v>
      </c>
      <c r="O18" s="11">
        <f>IFERROR(N18/M18*100,0)</f>
        <v>0</v>
      </c>
      <c r="Q18" s="11">
        <v>3.0080000000000003E-2</v>
      </c>
      <c r="R18" s="11">
        <v>0</v>
      </c>
      <c r="S18" s="11">
        <f t="shared" si="6"/>
        <v>3.0080000000000003E-2</v>
      </c>
      <c r="T18" s="11">
        <f>IFERROR(S18/R18*100,0)</f>
        <v>0</v>
      </c>
      <c r="V18" s="11">
        <f t="shared" si="8"/>
        <v>864.45546999999988</v>
      </c>
      <c r="W18" s="11">
        <f t="shared" si="8"/>
        <v>1227.384</v>
      </c>
      <c r="X18" s="11">
        <f t="shared" si="9"/>
        <v>-362.92853000000014</v>
      </c>
      <c r="Y18" s="11">
        <f t="shared" si="10"/>
        <v>-29.569273348846011</v>
      </c>
    </row>
    <row r="19" spans="1:25" s="11" customFormat="1" ht="15" customHeight="1" x14ac:dyDescent="0.25">
      <c r="A19" s="16" t="s">
        <v>18</v>
      </c>
      <c r="B19" s="11">
        <v>2292.9661599999999</v>
      </c>
      <c r="C19" s="11">
        <v>56895.266759999999</v>
      </c>
      <c r="D19" s="11">
        <f t="shared" si="0"/>
        <v>-54602.300600000002</v>
      </c>
      <c r="E19" s="11">
        <f t="shared" si="1"/>
        <v>-95.969847246393343</v>
      </c>
      <c r="G19" s="11">
        <v>0</v>
      </c>
      <c r="H19" s="11">
        <v>0</v>
      </c>
      <c r="I19" s="11">
        <f t="shared" si="2"/>
        <v>0</v>
      </c>
      <c r="J19" s="11">
        <f>IFERROR(I19/H19*100,0)</f>
        <v>0</v>
      </c>
      <c r="L19" s="13">
        <v>0</v>
      </c>
      <c r="M19" s="13">
        <v>0</v>
      </c>
      <c r="N19" s="13">
        <f t="shared" si="4"/>
        <v>0</v>
      </c>
      <c r="O19" s="11">
        <f>IFERROR(N19/M19*100,0)</f>
        <v>0</v>
      </c>
      <c r="Q19" s="11">
        <v>376.77075000000002</v>
      </c>
      <c r="R19" s="11">
        <v>848.16951999999992</v>
      </c>
      <c r="S19" s="11">
        <f t="shared" si="6"/>
        <v>-471.3987699999999</v>
      </c>
      <c r="T19" s="11">
        <f t="shared" si="7"/>
        <v>-55.578367164148965</v>
      </c>
      <c r="V19" s="11">
        <f t="shared" si="8"/>
        <v>2669.7369100000001</v>
      </c>
      <c r="W19" s="11">
        <f t="shared" si="8"/>
        <v>57743.436280000002</v>
      </c>
      <c r="X19" s="11">
        <f t="shared" si="9"/>
        <v>-55073.699370000002</v>
      </c>
      <c r="Y19" s="11">
        <f t="shared" si="10"/>
        <v>-95.376553454397225</v>
      </c>
    </row>
    <row r="20" spans="1:25" s="11" customFormat="1" ht="15" customHeight="1" x14ac:dyDescent="0.25">
      <c r="A20" s="15" t="s">
        <v>19</v>
      </c>
      <c r="B20" s="11">
        <f>+B14-B15-B16-B17-B18-B19</f>
        <v>3251015.3884599996</v>
      </c>
      <c r="C20" s="11">
        <f>+C14-C15-C16-C17-C18-C19</f>
        <v>3018335.2673900006</v>
      </c>
      <c r="D20" s="11">
        <f t="shared" si="0"/>
        <v>232680.12106999895</v>
      </c>
      <c r="E20" s="11">
        <f t="shared" si="1"/>
        <v>7.7088891874891319</v>
      </c>
      <c r="G20" s="11">
        <f>+G14-G15-G16-G17-G18-G19</f>
        <v>1902980.8335499999</v>
      </c>
      <c r="H20" s="11">
        <f>+H14-H15-H16-H17-H18-H19</f>
        <v>1635189.6954699999</v>
      </c>
      <c r="I20" s="11">
        <f t="shared" si="2"/>
        <v>267791.13807999995</v>
      </c>
      <c r="J20" s="11">
        <f t="shared" si="3"/>
        <v>16.376762819743014</v>
      </c>
      <c r="L20" s="13">
        <f>+L14-L15-L16-L17-L18-L19</f>
        <v>977020.59337999986</v>
      </c>
      <c r="M20" s="13">
        <f>+M14-M15-M16-M17-M18-M19</f>
        <v>855531.94360999996</v>
      </c>
      <c r="N20" s="13">
        <f t="shared" si="4"/>
        <v>121488.6497699999</v>
      </c>
      <c r="O20" s="13">
        <f t="shared" si="5"/>
        <v>14.200363958050097</v>
      </c>
      <c r="Q20" s="11">
        <f>+Q14-Q15-Q16-Q17-Q18-Q19</f>
        <v>1701547.4157799999</v>
      </c>
      <c r="R20" s="11">
        <f>+R14-R15-R16-R17-R18-R19</f>
        <v>1496704.1555699999</v>
      </c>
      <c r="S20" s="11">
        <f t="shared" si="6"/>
        <v>204843.26020999998</v>
      </c>
      <c r="T20" s="11">
        <f t="shared" si="7"/>
        <v>13.68628926749977</v>
      </c>
      <c r="V20" s="11">
        <f>+V14-V15-V16-V17-V18-V19</f>
        <v>7832564.2311699977</v>
      </c>
      <c r="W20" s="11">
        <f>+W14-W15-W16-W17-W18-W19</f>
        <v>7005761.0620399993</v>
      </c>
      <c r="X20" s="11">
        <f t="shared" si="9"/>
        <v>826803.16912999842</v>
      </c>
      <c r="Y20" s="11">
        <f t="shared" si="10"/>
        <v>11.801760890903729</v>
      </c>
    </row>
    <row r="21" spans="1:25" s="11" customFormat="1" ht="15" customHeight="1" x14ac:dyDescent="0.25">
      <c r="A21" s="15" t="s">
        <v>20</v>
      </c>
      <c r="B21" s="11">
        <v>79007.646150000015</v>
      </c>
      <c r="C21" s="11">
        <v>80348.194910000006</v>
      </c>
      <c r="D21" s="11">
        <f t="shared" si="0"/>
        <v>-1340.5487599999906</v>
      </c>
      <c r="E21" s="11">
        <f t="shared" si="1"/>
        <v>-1.6684242396504019</v>
      </c>
      <c r="G21" s="11">
        <v>51169.610289999997</v>
      </c>
      <c r="H21" s="11">
        <v>51002.73201</v>
      </c>
      <c r="I21" s="11">
        <f t="shared" si="2"/>
        <v>166.87827999999718</v>
      </c>
      <c r="J21" s="11">
        <f t="shared" si="3"/>
        <v>0.32719478628571835</v>
      </c>
      <c r="L21" s="13">
        <v>17307.541069999999</v>
      </c>
      <c r="M21" s="13">
        <v>16298.58518</v>
      </c>
      <c r="N21" s="13">
        <f t="shared" si="4"/>
        <v>1008.9558899999993</v>
      </c>
      <c r="O21" s="13">
        <f t="shared" si="5"/>
        <v>6.1904507591130633</v>
      </c>
      <c r="Q21" s="11">
        <v>18492.737690000002</v>
      </c>
      <c r="R21" s="11">
        <v>19657.610829999998</v>
      </c>
      <c r="S21" s="11">
        <f t="shared" si="6"/>
        <v>-1164.8731399999961</v>
      </c>
      <c r="T21" s="11">
        <f t="shared" si="7"/>
        <v>-5.9258123994511704</v>
      </c>
      <c r="V21" s="11">
        <f>+B21+G21+L21+Q21</f>
        <v>165977.53520000001</v>
      </c>
      <c r="W21" s="11">
        <f>+C21+H21+M21+R21</f>
        <v>167307.12292999998</v>
      </c>
      <c r="X21" s="11">
        <f t="shared" si="9"/>
        <v>-1329.5877299999702</v>
      </c>
      <c r="Y21" s="11">
        <f t="shared" si="10"/>
        <v>-0.79469881898349271</v>
      </c>
    </row>
    <row r="22" spans="1:25" s="11" customFormat="1" ht="15" customHeight="1" x14ac:dyDescent="0.25">
      <c r="A22" s="15" t="s">
        <v>21</v>
      </c>
      <c r="B22" s="11">
        <f>+B20+B21</f>
        <v>3330023.0346099995</v>
      </c>
      <c r="C22" s="11">
        <f>+C20+C21</f>
        <v>3098683.4623000007</v>
      </c>
      <c r="D22" s="11">
        <f t="shared" si="0"/>
        <v>231339.5723099988</v>
      </c>
      <c r="E22" s="11">
        <f t="shared" si="1"/>
        <v>7.465737469624818</v>
      </c>
      <c r="G22" s="11">
        <f>+G20+G21</f>
        <v>1954150.4438399998</v>
      </c>
      <c r="H22" s="11">
        <f>+H20+H21</f>
        <v>1686192.4274799998</v>
      </c>
      <c r="I22" s="11">
        <f t="shared" si="2"/>
        <v>267958.01636000001</v>
      </c>
      <c r="J22" s="11">
        <f t="shared" si="3"/>
        <v>15.891307065140897</v>
      </c>
      <c r="L22" s="13">
        <f>+L20+L21</f>
        <v>994328.1344499999</v>
      </c>
      <c r="M22" s="13">
        <f>+M20+M21</f>
        <v>871830.52879000001</v>
      </c>
      <c r="N22" s="13">
        <f t="shared" si="4"/>
        <v>122497.60565999988</v>
      </c>
      <c r="O22" s="13">
        <f t="shared" si="5"/>
        <v>14.050621263516936</v>
      </c>
      <c r="Q22" s="11">
        <f>+Q20+Q21</f>
        <v>1720040.15347</v>
      </c>
      <c r="R22" s="11">
        <f>+R20+R21</f>
        <v>1516361.7663999998</v>
      </c>
      <c r="S22" s="11">
        <f t="shared" si="6"/>
        <v>203678.38707000017</v>
      </c>
      <c r="T22" s="11">
        <f t="shared" si="7"/>
        <v>13.432044488536121</v>
      </c>
      <c r="V22" s="11">
        <f>+V20+V21</f>
        <v>7998541.7663699975</v>
      </c>
      <c r="W22" s="11">
        <f>+W20+W21</f>
        <v>7173068.1849699989</v>
      </c>
      <c r="X22" s="11">
        <f t="shared" si="9"/>
        <v>825473.58139999863</v>
      </c>
      <c r="Y22" s="11">
        <f t="shared" si="10"/>
        <v>11.507956708534357</v>
      </c>
    </row>
    <row r="23" spans="1:25" s="11" customFormat="1" ht="15" customHeight="1" x14ac:dyDescent="0.25">
      <c r="A23" s="15" t="s">
        <v>22</v>
      </c>
      <c r="B23" s="11">
        <v>3309339.7487300001</v>
      </c>
      <c r="C23" s="11">
        <v>3155087.8845300004</v>
      </c>
      <c r="D23" s="11">
        <f t="shared" si="0"/>
        <v>154251.86419999972</v>
      </c>
      <c r="E23" s="11">
        <f t="shared" si="1"/>
        <v>4.888987877527156</v>
      </c>
      <c r="G23" s="11">
        <v>1692611.5473</v>
      </c>
      <c r="H23" s="11">
        <v>1524076.5583500001</v>
      </c>
      <c r="I23" s="11">
        <f t="shared" si="2"/>
        <v>168534.98894999991</v>
      </c>
      <c r="J23" s="11">
        <f t="shared" si="3"/>
        <v>11.058170800321195</v>
      </c>
      <c r="L23" s="13">
        <v>915092.67662000004</v>
      </c>
      <c r="M23" s="13">
        <v>894992.51922999998</v>
      </c>
      <c r="N23" s="13">
        <f t="shared" si="4"/>
        <v>20100.157390000066</v>
      </c>
      <c r="O23" s="13">
        <f t="shared" si="5"/>
        <v>2.2458464130284668</v>
      </c>
      <c r="Q23" s="11">
        <v>1438492.54956</v>
      </c>
      <c r="R23" s="11">
        <v>1304074.3866600001</v>
      </c>
      <c r="S23" s="11">
        <f t="shared" si="6"/>
        <v>134418.16289999988</v>
      </c>
      <c r="T23" s="11">
        <f t="shared" si="7"/>
        <v>10.307553332465348</v>
      </c>
      <c r="V23" s="11">
        <f>+B23+G23+L23+Q23</f>
        <v>7355536.5222100001</v>
      </c>
      <c r="W23" s="11">
        <f>+C23+H23+M23+R23</f>
        <v>6878231.348770001</v>
      </c>
      <c r="X23" s="11">
        <f t="shared" si="9"/>
        <v>477305.17343999911</v>
      </c>
      <c r="Y23" s="11">
        <f t="shared" si="10"/>
        <v>6.9393591061073163</v>
      </c>
    </row>
    <row r="24" spans="1:25" s="11" customFormat="1" ht="15" customHeight="1" x14ac:dyDescent="0.25">
      <c r="A24" s="15" t="s">
        <v>23</v>
      </c>
      <c r="B24" s="11">
        <f>ROUND((B23/B22*100),0)</f>
        <v>99</v>
      </c>
      <c r="C24" s="11">
        <f>ROUND((C23/C22*100),0)</f>
        <v>102</v>
      </c>
      <c r="D24" s="15" t="s">
        <v>24</v>
      </c>
      <c r="E24" s="11">
        <f>B24-C24</f>
        <v>-3</v>
      </c>
      <c r="I24" s="15" t="s">
        <v>24</v>
      </c>
      <c r="J24" s="11">
        <f>G24-H24</f>
        <v>0</v>
      </c>
      <c r="L24" s="13">
        <f>ROUND((L23/L22*100),0)</f>
        <v>92</v>
      </c>
      <c r="M24" s="13">
        <f>ROUND((M23/M22*100),0)</f>
        <v>103</v>
      </c>
      <c r="N24" s="28" t="s">
        <v>24</v>
      </c>
      <c r="O24" s="13">
        <f>L24-M24</f>
        <v>-11</v>
      </c>
      <c r="Q24" s="11">
        <f>ROUND((Q23/Q22*100),0)</f>
        <v>84</v>
      </c>
      <c r="R24" s="11">
        <f>ROUND((R23/R22*100),0)</f>
        <v>86</v>
      </c>
      <c r="S24" s="15" t="s">
        <v>24</v>
      </c>
      <c r="T24" s="11">
        <f>Q24-R24</f>
        <v>-2</v>
      </c>
      <c r="V24" s="11">
        <f>ROUND((V23/V22*100),0)</f>
        <v>92</v>
      </c>
      <c r="W24" s="11">
        <f>ROUND((W23/W22*100),0)</f>
        <v>96</v>
      </c>
      <c r="X24" s="15" t="s">
        <v>24</v>
      </c>
      <c r="Y24" s="11">
        <f>V24-W24</f>
        <v>-4</v>
      </c>
    </row>
    <row r="25" spans="1:25" s="11" customFormat="1" ht="15" customHeight="1" x14ac:dyDescent="0.25">
      <c r="A25" s="15" t="s">
        <v>25</v>
      </c>
      <c r="B25" s="11">
        <v>213055.25095999998</v>
      </c>
      <c r="C25" s="11">
        <v>171499.03250999999</v>
      </c>
      <c r="D25" s="11">
        <f>B25-C25</f>
        <v>41556.218449999986</v>
      </c>
      <c r="E25" s="11">
        <f>D25/C25*100</f>
        <v>24.231167862464105</v>
      </c>
      <c r="G25" s="11">
        <v>185605.68258000002</v>
      </c>
      <c r="H25" s="11">
        <v>131367.55682999999</v>
      </c>
      <c r="I25" s="11">
        <f>G25-H25</f>
        <v>54238.125750000036</v>
      </c>
      <c r="J25" s="11">
        <f>I25/H25*100</f>
        <v>41.287306439129765</v>
      </c>
      <c r="L25" s="13">
        <v>70695.067909999998</v>
      </c>
      <c r="M25" s="13">
        <v>69380.199819999994</v>
      </c>
      <c r="N25" s="13">
        <f>L25-M25</f>
        <v>1314.8680900000036</v>
      </c>
      <c r="O25" s="13">
        <f>N25/M25*100</f>
        <v>1.8951633079917578</v>
      </c>
      <c r="Q25" s="11">
        <v>189953.29576000001</v>
      </c>
      <c r="R25" s="11">
        <v>168056.47829</v>
      </c>
      <c r="S25" s="11">
        <f>Q25-R25</f>
        <v>21896.817470000009</v>
      </c>
      <c r="T25" s="11">
        <f>S25/R25*100</f>
        <v>13.029439681709047</v>
      </c>
      <c r="V25" s="11">
        <f>+B25+G25+L25+Q25</f>
        <v>659309.29720999999</v>
      </c>
      <c r="W25" s="11">
        <f>+C25+H25+M25+R25</f>
        <v>540303.26744999993</v>
      </c>
      <c r="X25" s="11">
        <f>V25-W25</f>
        <v>119006.02976000006</v>
      </c>
      <c r="Y25" s="11">
        <f>X25/W25*100</f>
        <v>22.025783838335382</v>
      </c>
    </row>
    <row r="26" spans="1:25" s="11" customFormat="1" ht="15" customHeight="1" x14ac:dyDescent="0.25">
      <c r="A26" s="15" t="s">
        <v>23</v>
      </c>
      <c r="B26" s="11">
        <f>ROUND((B25/B22*100),0)</f>
        <v>6</v>
      </c>
      <c r="C26" s="11">
        <f>ROUND((C25/C22*100),0)</f>
        <v>6</v>
      </c>
      <c r="E26" s="11">
        <f>B26-C26</f>
        <v>0</v>
      </c>
      <c r="G26" s="11">
        <f>ROUND((G25/G22*100),0)</f>
        <v>9</v>
      </c>
      <c r="H26" s="11">
        <f>ROUND((H25/H22*100),0)</f>
        <v>8</v>
      </c>
      <c r="J26" s="11">
        <f>G26-H26</f>
        <v>1</v>
      </c>
      <c r="L26" s="11">
        <f>ROUND((L25/L22*100),0)</f>
        <v>7</v>
      </c>
      <c r="M26" s="13">
        <f>ROUND((M25/M22*100),0)</f>
        <v>8</v>
      </c>
      <c r="N26" s="13"/>
      <c r="O26" s="13">
        <f>L26-M26</f>
        <v>-1</v>
      </c>
      <c r="Q26" s="11">
        <f>ROUND((Q25/Q22*100),0)</f>
        <v>11</v>
      </c>
      <c r="R26" s="11">
        <f>ROUND((R25/R22*100),0)</f>
        <v>11</v>
      </c>
      <c r="T26" s="11">
        <f>Q26-R26</f>
        <v>0</v>
      </c>
      <c r="V26" s="11">
        <f>ROUND((V25/V22*100),0)</f>
        <v>8</v>
      </c>
      <c r="W26" s="11">
        <f>ROUND((W25/W22*100),0)</f>
        <v>8</v>
      </c>
      <c r="Y26" s="11">
        <f>V26-W26</f>
        <v>0</v>
      </c>
    </row>
    <row r="27" spans="1:25" s="11" customFormat="1" ht="15" customHeight="1" x14ac:dyDescent="0.25">
      <c r="A27" s="15" t="s">
        <v>26</v>
      </c>
      <c r="B27" s="11">
        <f>+B22-B23-B25</f>
        <v>-192371.96508000058</v>
      </c>
      <c r="C27" s="11">
        <f>+C22-C23-C25</f>
        <v>-227903.45473999967</v>
      </c>
      <c r="D27" s="11">
        <f>B27-C27</f>
        <v>35531.48965999909</v>
      </c>
      <c r="E27" s="11">
        <f>D27/C27*100</f>
        <v>-15.590588436026417</v>
      </c>
      <c r="G27" s="11">
        <f>+G22-G23-G25</f>
        <v>75933.213959999848</v>
      </c>
      <c r="H27" s="11">
        <f>+H22-H23-H25</f>
        <v>30748.312299999787</v>
      </c>
      <c r="I27" s="11">
        <f>G27-H27</f>
        <v>45184.901660000061</v>
      </c>
      <c r="J27" s="11">
        <f>I27/H27*100</f>
        <v>146.95083495688436</v>
      </c>
      <c r="L27" s="13">
        <f>+L22-L23-L25</f>
        <v>8540.3899199998559</v>
      </c>
      <c r="M27" s="13">
        <f>+M22-M23-M25</f>
        <v>-92542.190259999959</v>
      </c>
      <c r="N27" s="13">
        <f>L27-M27</f>
        <v>101082.58017999982</v>
      </c>
      <c r="O27" s="13">
        <f>N27/M27*100</f>
        <v>-109.22864468196114</v>
      </c>
      <c r="Q27" s="11">
        <f>+Q22-Q23-Q25</f>
        <v>91594.308150000055</v>
      </c>
      <c r="R27" s="11">
        <f>+R22-R23-R25</f>
        <v>44230.901449999772</v>
      </c>
      <c r="S27" s="11">
        <f>Q27-R27</f>
        <v>47363.406700000283</v>
      </c>
      <c r="T27" s="11">
        <f>S27/R27*100</f>
        <v>107.08216461186441</v>
      </c>
      <c r="V27" s="11">
        <f>+V22-V23-V25</f>
        <v>-16304.053050002549</v>
      </c>
      <c r="W27" s="11">
        <f>+W22-W23-W25</f>
        <v>-245466.431250002</v>
      </c>
      <c r="X27" s="11">
        <f>V27-W27</f>
        <v>229162.37819999945</v>
      </c>
      <c r="Y27" s="11">
        <f>X27/W27*100</f>
        <v>-93.357929649697297</v>
      </c>
    </row>
    <row r="28" spans="1:25" s="11" customFormat="1" ht="15" customHeight="1" x14ac:dyDescent="0.25">
      <c r="A28" s="15" t="s">
        <v>27</v>
      </c>
      <c r="B28" s="11">
        <v>55479.49381</v>
      </c>
      <c r="C28" s="11">
        <v>43287.769289999997</v>
      </c>
      <c r="D28" s="11">
        <f>B28-C28</f>
        <v>12191.724520000003</v>
      </c>
      <c r="E28" s="11">
        <f>D28/C28*100</f>
        <v>28.164363098323115</v>
      </c>
      <c r="G28" s="11">
        <v>66473.336460000006</v>
      </c>
      <c r="H28" s="11">
        <v>24851.246910000002</v>
      </c>
      <c r="I28" s="11">
        <f>G28-H28</f>
        <v>41622.089550000004</v>
      </c>
      <c r="J28" s="11">
        <f>I28/H28*100</f>
        <v>167.48491414027001</v>
      </c>
      <c r="L28" s="13">
        <v>10556.022789999999</v>
      </c>
      <c r="M28" s="13">
        <v>10611.319309999999</v>
      </c>
      <c r="N28" s="13">
        <f>L28-M28</f>
        <v>-55.296519999999873</v>
      </c>
      <c r="O28" s="13">
        <f>N28/M28*100</f>
        <v>-0.52110881205779003</v>
      </c>
      <c r="Q28" s="11">
        <v>41923.568320000006</v>
      </c>
      <c r="R28" s="11">
        <v>30866.163540000001</v>
      </c>
      <c r="S28" s="11">
        <f>Q28-R28</f>
        <v>11057.404780000004</v>
      </c>
      <c r="T28" s="11">
        <f>S28/R28*100</f>
        <v>35.823709563614926</v>
      </c>
      <c r="V28" s="11">
        <f>+B28+G28+L28+Q28</f>
        <v>174432.42138000001</v>
      </c>
      <c r="W28" s="11">
        <f>+C28+H28+M28+R28</f>
        <v>109616.49905000001</v>
      </c>
      <c r="X28" s="11">
        <f>V28-W28</f>
        <v>64815.922330000001</v>
      </c>
      <c r="Y28" s="11">
        <f>X28/W28*100</f>
        <v>59.129713949754169</v>
      </c>
    </row>
    <row r="29" spans="1:25" s="11" customFormat="1" ht="15" customHeight="1" x14ac:dyDescent="0.25">
      <c r="A29" s="15" t="s">
        <v>28</v>
      </c>
      <c r="B29" s="11">
        <v>6197.9102299999995</v>
      </c>
      <c r="C29" s="11">
        <v>2448.9911299999999</v>
      </c>
      <c r="D29" s="11">
        <f>B29-C29</f>
        <v>3748.9190999999996</v>
      </c>
      <c r="E29" s="11">
        <f>D29/C29*100</f>
        <v>153.0801420256675</v>
      </c>
      <c r="G29" s="11">
        <v>1759.8090099999999</v>
      </c>
      <c r="H29" s="11">
        <v>2000.4789900000001</v>
      </c>
      <c r="I29" s="11">
        <f>G29-H29</f>
        <v>-240.66998000000012</v>
      </c>
      <c r="J29" s="11">
        <f>I29/H29*100</f>
        <v>-12.030617727207428</v>
      </c>
      <c r="L29" s="13">
        <v>9450.7181600000004</v>
      </c>
      <c r="M29" s="13">
        <v>14451.897359999999</v>
      </c>
      <c r="N29" s="13">
        <f>L29-M29</f>
        <v>-5001.1791999999987</v>
      </c>
      <c r="O29" s="13">
        <f>N29/M29*100</f>
        <v>-34.605692771125511</v>
      </c>
      <c r="Q29" s="11">
        <v>14178.98702</v>
      </c>
      <c r="R29" s="11">
        <v>10306.27563</v>
      </c>
      <c r="S29" s="11">
        <f>Q29-R29</f>
        <v>3872.7113900000004</v>
      </c>
      <c r="T29" s="11">
        <f>S29/R29*100</f>
        <v>37.576245086315438</v>
      </c>
      <c r="V29" s="11">
        <f>+B29+G29+L29+Q29</f>
        <v>31587.424419999999</v>
      </c>
      <c r="W29" s="11">
        <f>+C29+H29+M29+R29</f>
        <v>29207.643110000001</v>
      </c>
      <c r="X29" s="11">
        <f>V29-W29</f>
        <v>2379.7813099999985</v>
      </c>
      <c r="Y29" s="11">
        <f>X29/W29*100</f>
        <v>8.1478033028458157</v>
      </c>
    </row>
    <row r="30" spans="1:25" s="11" customFormat="1" ht="15" customHeight="1" x14ac:dyDescent="0.25">
      <c r="A30" s="15" t="s">
        <v>29</v>
      </c>
      <c r="B30" s="11">
        <f>+B27-B28-B29</f>
        <v>-254049.3691200006</v>
      </c>
      <c r="C30" s="11">
        <f>+C27-C28-C29</f>
        <v>-273640.21515999967</v>
      </c>
      <c r="D30" s="11">
        <f>B30-C30</f>
        <v>19590.846039999073</v>
      </c>
      <c r="E30" s="11">
        <f>D30/C30*100</f>
        <v>-7.1593446264994878</v>
      </c>
      <c r="G30" s="11">
        <f>+G27-G28-G29</f>
        <v>7700.0684899998423</v>
      </c>
      <c r="H30" s="11">
        <f>+H27-H28-H29</f>
        <v>3896.586399999785</v>
      </c>
      <c r="I30" s="11">
        <f>G30-H30</f>
        <v>3803.4820900000573</v>
      </c>
      <c r="J30" s="11">
        <f>I30/H30*100</f>
        <v>97.610618617368957</v>
      </c>
      <c r="L30" s="13">
        <f>+L27-L28-L29</f>
        <v>-11466.351030000144</v>
      </c>
      <c r="M30" s="13">
        <f>+M27-M28-M29</f>
        <v>-117605.40692999997</v>
      </c>
      <c r="N30" s="13">
        <f>L30-M30</f>
        <v>106139.05589999983</v>
      </c>
      <c r="O30" s="13">
        <f>N30/M30*100</f>
        <v>-90.25014977685079</v>
      </c>
      <c r="Q30" s="11">
        <f>+Q27-Q28-Q29</f>
        <v>35491.752810000049</v>
      </c>
      <c r="R30" s="11">
        <f>+R27-R28-R29</f>
        <v>3058.4622799997705</v>
      </c>
      <c r="S30" s="11">
        <f>Q30-R30</f>
        <v>32433.290530000279</v>
      </c>
      <c r="T30" s="11">
        <f>S30/R30*100</f>
        <v>1060.4443527746471</v>
      </c>
      <c r="V30" s="11">
        <f>+V27-V28-V29</f>
        <v>-222323.89885000256</v>
      </c>
      <c r="W30" s="11">
        <f>+W27-W28-W29</f>
        <v>-384290.57341000199</v>
      </c>
      <c r="X30" s="11">
        <f>V30-W30</f>
        <v>161966.67455999943</v>
      </c>
      <c r="Y30" s="11">
        <f>X30/W30*100</f>
        <v>-42.14692885198518</v>
      </c>
    </row>
    <row r="31" spans="1:25" s="11" customFormat="1" ht="15" customHeight="1" x14ac:dyDescent="0.25">
      <c r="A31" s="15" t="s">
        <v>23</v>
      </c>
      <c r="B31" s="11">
        <f>ROUND((B30/B22*100),0)</f>
        <v>-8</v>
      </c>
      <c r="C31" s="11">
        <f>ROUND((C30/C22*100),0)</f>
        <v>-9</v>
      </c>
      <c r="E31" s="11">
        <f>B31-C31</f>
        <v>1</v>
      </c>
      <c r="G31" s="11">
        <f>ROUND((G30/G22*100),0)</f>
        <v>0</v>
      </c>
      <c r="H31" s="11">
        <f>ROUND((H30/H22*100),0)</f>
        <v>0</v>
      </c>
      <c r="J31" s="11">
        <f>G31-H31</f>
        <v>0</v>
      </c>
      <c r="L31" s="13">
        <f>ROUND((L30/L22*100),0)</f>
        <v>-1</v>
      </c>
      <c r="M31" s="13">
        <f>ROUND((M30/M22*100),0)</f>
        <v>-13</v>
      </c>
      <c r="N31" s="13"/>
      <c r="O31" s="13">
        <f>L31-M31</f>
        <v>12</v>
      </c>
      <c r="Q31" s="11">
        <f>ROUND((Q30/Q22*100),0)</f>
        <v>2</v>
      </c>
      <c r="R31" s="11">
        <f>ROUND((R30/R22*100),0)</f>
        <v>0</v>
      </c>
      <c r="T31" s="11">
        <f>Q31-R31</f>
        <v>2</v>
      </c>
      <c r="V31" s="11">
        <f>ROUND((V30/V22*100),0)</f>
        <v>-3</v>
      </c>
      <c r="W31" s="11">
        <f>ROUND((W30/W22*100),0)</f>
        <v>-5</v>
      </c>
      <c r="Y31" s="11">
        <f>V31-W31</f>
        <v>2</v>
      </c>
    </row>
    <row r="32" spans="1:25" s="11" customFormat="1" ht="15" customHeight="1" x14ac:dyDescent="0.25">
      <c r="A32" s="15" t="s">
        <v>30</v>
      </c>
      <c r="B32" s="11">
        <v>506.64497999999998</v>
      </c>
      <c r="C32" s="11">
        <v>582.45342000000005</v>
      </c>
      <c r="D32" s="11">
        <f>B32-C32</f>
        <v>-75.808440000000076</v>
      </c>
      <c r="E32" s="11">
        <f>D32/C32*100</f>
        <v>-13.015365245859501</v>
      </c>
      <c r="G32" s="11">
        <v>1348.0773800000002</v>
      </c>
      <c r="H32" s="11">
        <v>974.15081000000009</v>
      </c>
      <c r="I32" s="11">
        <f>G32-H32</f>
        <v>373.92657000000008</v>
      </c>
      <c r="J32" s="11">
        <f>I32/H32*100</f>
        <v>38.384874925064224</v>
      </c>
      <c r="L32" s="13">
        <v>206.80833999999999</v>
      </c>
      <c r="M32" s="13">
        <v>301.45875000000001</v>
      </c>
      <c r="N32" s="13">
        <f>L32-M32</f>
        <v>-94.650410000000022</v>
      </c>
      <c r="O32" s="13">
        <f>N32/M32*100</f>
        <v>-31.39746648587909</v>
      </c>
      <c r="Q32" s="11">
        <v>619.55111999999997</v>
      </c>
      <c r="R32" s="11">
        <v>464.60846999999995</v>
      </c>
      <c r="S32" s="11">
        <f>Q32-R32</f>
        <v>154.94265000000001</v>
      </c>
      <c r="T32" s="11">
        <f>S32/R32*100</f>
        <v>33.349079925297112</v>
      </c>
      <c r="V32" s="11">
        <f>+B32+G32+L32+Q32</f>
        <v>2681.0818200000003</v>
      </c>
      <c r="W32" s="11">
        <f>+C32+H32+M32+R32</f>
        <v>2322.6714500000003</v>
      </c>
      <c r="X32" s="11">
        <f>V32-W32</f>
        <v>358.41037000000006</v>
      </c>
      <c r="Y32" s="11">
        <f>X32/W32*100</f>
        <v>15.430954300488775</v>
      </c>
    </row>
    <row r="33" spans="1:25" s="11" customFormat="1" ht="15" customHeight="1" x14ac:dyDescent="0.25">
      <c r="A33" s="15" t="s">
        <v>31</v>
      </c>
      <c r="B33" s="11">
        <f>+B30-B32</f>
        <v>-254556.01410000061</v>
      </c>
      <c r="C33" s="11">
        <f>+C30-C32</f>
        <v>-274222.66857999965</v>
      </c>
      <c r="D33" s="11">
        <f>B33-C33</f>
        <v>19666.654479999037</v>
      </c>
      <c r="E33" s="11">
        <f>D33/C33*100</f>
        <v>-7.1717829097931176</v>
      </c>
      <c r="G33" s="11">
        <f>+G30-G32</f>
        <v>6351.9911099998426</v>
      </c>
      <c r="H33" s="11">
        <f>+H30-H32</f>
        <v>2922.435589999785</v>
      </c>
      <c r="I33" s="11">
        <f>G33-H33</f>
        <v>3429.5555200000576</v>
      </c>
      <c r="J33" s="11">
        <f>I33/H33*100</f>
        <v>117.35264694064003</v>
      </c>
      <c r="L33" s="13">
        <f>+L30-L32</f>
        <v>-11673.159370000143</v>
      </c>
      <c r="M33" s="13">
        <f>+M30-M32</f>
        <v>-117906.86567999997</v>
      </c>
      <c r="N33" s="13">
        <f>L33-M33</f>
        <v>106233.70630999983</v>
      </c>
      <c r="O33" s="13">
        <f>N33/M33*100</f>
        <v>-90.09967799357743</v>
      </c>
      <c r="Q33" s="11">
        <f>+Q30-Q32</f>
        <v>34872.201690000053</v>
      </c>
      <c r="R33" s="11">
        <f>+R30-R32</f>
        <v>2593.8538099997704</v>
      </c>
      <c r="S33" s="11">
        <f>Q33-R33</f>
        <v>32278.347880000281</v>
      </c>
      <c r="T33" s="11">
        <f>S33/R33*100</f>
        <v>1244.4166188380193</v>
      </c>
      <c r="V33" s="11">
        <f>+V30-V32</f>
        <v>-225004.98067000255</v>
      </c>
      <c r="W33" s="11">
        <f>+W30-W32</f>
        <v>-386613.24486000201</v>
      </c>
      <c r="X33" s="11">
        <f>V33-W33</f>
        <v>161608.26418999946</v>
      </c>
      <c r="Y33" s="11">
        <f>X33/W33*100</f>
        <v>-41.801015960671506</v>
      </c>
    </row>
    <row r="34" spans="1:25" s="11" customFormat="1" ht="15" customHeight="1" x14ac:dyDescent="0.25">
      <c r="A34" s="15" t="s">
        <v>23</v>
      </c>
      <c r="B34" s="11">
        <f>ROUND((B33/B22*100),0)</f>
        <v>-8</v>
      </c>
      <c r="C34" s="11">
        <f>ROUND((C33/C22*100),0)</f>
        <v>-9</v>
      </c>
      <c r="E34" s="11">
        <f>B34-C34</f>
        <v>1</v>
      </c>
      <c r="G34" s="11">
        <f>ROUND((G33/G22*100),0)</f>
        <v>0</v>
      </c>
      <c r="H34" s="11">
        <f>ROUND((H33/H22*100),0)</f>
        <v>0</v>
      </c>
      <c r="J34" s="11">
        <f>G34-H34</f>
        <v>0</v>
      </c>
      <c r="L34" s="13">
        <f>ROUND((L33/L22*100),0)</f>
        <v>-1</v>
      </c>
      <c r="M34" s="13">
        <f>ROUND((M33/M22*100),0)</f>
        <v>-14</v>
      </c>
      <c r="N34" s="13"/>
      <c r="O34" s="13">
        <f>L34-M34</f>
        <v>13</v>
      </c>
      <c r="Q34" s="11">
        <f>ROUND((Q33/Q22*100),0)</f>
        <v>2</v>
      </c>
      <c r="R34" s="11">
        <f>ROUND((R33/R22*100),0)</f>
        <v>0</v>
      </c>
      <c r="T34" s="11">
        <f>Q34-R34</f>
        <v>2</v>
      </c>
      <c r="V34" s="11">
        <f>ROUND((V33/V22*100),0)</f>
        <v>-3</v>
      </c>
      <c r="W34" s="11">
        <f>ROUND((W33/W22*100),0)</f>
        <v>-5</v>
      </c>
      <c r="Y34" s="11">
        <f>V34-W34</f>
        <v>2</v>
      </c>
    </row>
    <row r="35" spans="1:25" s="11" customFormat="1" hidden="1" x14ac:dyDescent="0.25">
      <c r="B35" s="29">
        <f>B33+B15</f>
        <v>-207188.50352000061</v>
      </c>
      <c r="C35" s="29">
        <f>C33+C15</f>
        <v>-228144.77981999965</v>
      </c>
      <c r="G35" s="29">
        <f>G33+G15</f>
        <v>45421.54418999984</v>
      </c>
      <c r="H35" s="29">
        <f>H33+H15</f>
        <v>42065.531319999784</v>
      </c>
      <c r="L35" s="30">
        <f>L33+L15</f>
        <v>11612.392959999856</v>
      </c>
      <c r="M35" s="30">
        <f>M33+M15</f>
        <v>-94949.38254999998</v>
      </c>
      <c r="N35" s="13"/>
      <c r="O35" s="13"/>
      <c r="Q35" s="29">
        <f>Q33+Q15</f>
        <v>101065.56961000004</v>
      </c>
      <c r="R35" s="29">
        <f>R33+R15</f>
        <v>63159.600819999774</v>
      </c>
    </row>
    <row r="36" spans="1:25" s="11" customFormat="1" ht="15.6" x14ac:dyDescent="0.3">
      <c r="A36" s="19" t="s">
        <v>32</v>
      </c>
      <c r="M36" s="13"/>
      <c r="N36" s="13"/>
      <c r="O36" s="13"/>
    </row>
    <row r="37" spans="1:25" s="11" customFormat="1" ht="9.9" customHeight="1" x14ac:dyDescent="0.25">
      <c r="L37" s="13"/>
      <c r="M37" s="13"/>
      <c r="N37" s="13"/>
      <c r="O37" s="13"/>
    </row>
    <row r="38" spans="1:25" s="11" customFormat="1" ht="15" customHeight="1" x14ac:dyDescent="0.25">
      <c r="A38" s="15" t="s">
        <v>33</v>
      </c>
      <c r="B38" s="11">
        <v>170067.07173</v>
      </c>
      <c r="C38" s="11">
        <v>148657.82908000002</v>
      </c>
      <c r="D38" s="11">
        <f>B38-C38</f>
        <v>21409.242649999971</v>
      </c>
      <c r="E38" s="11">
        <f>D38/C38*100</f>
        <v>14.401691981172826</v>
      </c>
      <c r="G38" s="11">
        <v>233582.87662999998</v>
      </c>
      <c r="H38" s="11">
        <v>176965.87934000001</v>
      </c>
      <c r="I38" s="11">
        <f>G38-H38</f>
        <v>56616.99728999997</v>
      </c>
      <c r="J38" s="11">
        <f>I38/H38*100</f>
        <v>31.993171509194259</v>
      </c>
      <c r="L38" s="13">
        <v>27011.592100000002</v>
      </c>
      <c r="M38" s="13">
        <v>64819.172899999998</v>
      </c>
      <c r="N38" s="13">
        <f>L38-M38</f>
        <v>-37807.580799999996</v>
      </c>
      <c r="O38" s="13">
        <f>N38/M38*100</f>
        <v>-58.327774188553391</v>
      </c>
      <c r="Q38" s="11">
        <v>180743.84516999999</v>
      </c>
      <c r="R38" s="11">
        <v>55187.851770000001</v>
      </c>
      <c r="S38" s="11">
        <f>Q38-R38</f>
        <v>125555.99339999998</v>
      </c>
      <c r="T38" s="11">
        <f>S38/R38*100</f>
        <v>227.50657866384273</v>
      </c>
      <c r="V38" s="11">
        <f t="shared" ref="V38:W40" si="11">+B38+G38+L38+Q38</f>
        <v>611405.38562999992</v>
      </c>
      <c r="W38" s="11">
        <f t="shared" si="11"/>
        <v>445630.73309000005</v>
      </c>
      <c r="X38" s="11">
        <f>V38-W38</f>
        <v>165774.65253999986</v>
      </c>
      <c r="Y38" s="11">
        <f>X38/W38*100</f>
        <v>37.200004449989279</v>
      </c>
    </row>
    <row r="39" spans="1:25" s="11" customFormat="1" ht="15" customHeight="1" x14ac:dyDescent="0.25">
      <c r="A39" s="15" t="s">
        <v>34</v>
      </c>
      <c r="B39" s="11">
        <v>0</v>
      </c>
      <c r="C39" s="11">
        <v>0</v>
      </c>
      <c r="D39" s="11">
        <f>B39-C39</f>
        <v>0</v>
      </c>
      <c r="E39" s="11">
        <f>IFERROR(D39/C39*100,0)</f>
        <v>0</v>
      </c>
      <c r="G39" s="11">
        <v>0</v>
      </c>
      <c r="H39" s="11">
        <v>0</v>
      </c>
      <c r="I39" s="11">
        <f>G39-H39</f>
        <v>0</v>
      </c>
      <c r="L39" s="13">
        <v>612.34451000000001</v>
      </c>
      <c r="M39" s="13">
        <v>545.22218000000009</v>
      </c>
      <c r="N39" s="13">
        <f>L39-M39</f>
        <v>67.12232999999992</v>
      </c>
      <c r="O39" s="13">
        <f>N39/M39*100</f>
        <v>12.311005029179096</v>
      </c>
      <c r="Q39" s="11">
        <v>0</v>
      </c>
      <c r="R39" s="11">
        <v>0</v>
      </c>
      <c r="S39" s="11">
        <f>Q39-R39</f>
        <v>0</v>
      </c>
      <c r="T39" s="11">
        <f>IFERROR(S39/R39*100,0)</f>
        <v>0</v>
      </c>
      <c r="V39" s="11">
        <f t="shared" si="11"/>
        <v>612.34451000000001</v>
      </c>
      <c r="W39" s="11">
        <f t="shared" si="11"/>
        <v>545.22218000000009</v>
      </c>
      <c r="X39" s="11">
        <f>V39-W39</f>
        <v>67.12232999999992</v>
      </c>
      <c r="Y39" s="11">
        <f>X39/W39*100</f>
        <v>12.311005029179096</v>
      </c>
    </row>
    <row r="40" spans="1:25" s="11" customFormat="1" ht="15" customHeight="1" x14ac:dyDescent="0.25">
      <c r="A40" s="15" t="s">
        <v>35</v>
      </c>
      <c r="B40" s="11">
        <v>161124.57449999999</v>
      </c>
      <c r="C40" s="11">
        <v>103409.32768</v>
      </c>
      <c r="D40" s="11">
        <f>B40-C40</f>
        <v>57715.246819999986</v>
      </c>
      <c r="E40" s="11">
        <f>D40/C40*100</f>
        <v>55.812418584327062</v>
      </c>
      <c r="G40" s="11">
        <v>21054.304530000001</v>
      </c>
      <c r="H40" s="11">
        <v>7041.8901599999999</v>
      </c>
      <c r="I40" s="11">
        <f>G40-H40</f>
        <v>14012.414370000002</v>
      </c>
      <c r="J40" s="11">
        <f>I40/H40*100</f>
        <v>198.98655121879952</v>
      </c>
      <c r="L40" s="13">
        <v>39614.536909999995</v>
      </c>
      <c r="M40" s="13">
        <v>40916.215210000002</v>
      </c>
      <c r="N40" s="13">
        <f>L40-M40</f>
        <v>-1301.6783000000069</v>
      </c>
      <c r="O40" s="13">
        <f>N40/M40*100</f>
        <v>-3.1813262622635592</v>
      </c>
      <c r="Q40" s="11">
        <v>118778.19526000001</v>
      </c>
      <c r="R40" s="11">
        <v>106723.85231999999</v>
      </c>
      <c r="S40" s="11">
        <f>Q40-R40</f>
        <v>12054.342940000017</v>
      </c>
      <c r="T40" s="11">
        <f>S40/R40*100</f>
        <v>11.294891140039029</v>
      </c>
      <c r="V40" s="11">
        <f t="shared" si="11"/>
        <v>340571.61119999998</v>
      </c>
      <c r="W40" s="11">
        <f t="shared" si="11"/>
        <v>258091.28537</v>
      </c>
      <c r="X40" s="11">
        <f>V40-W40</f>
        <v>82480.325829999987</v>
      </c>
      <c r="Y40" s="11">
        <f>X40/W40*100</f>
        <v>31.957811249518205</v>
      </c>
    </row>
    <row r="41" spans="1:25" s="11" customFormat="1" ht="15" customHeight="1" x14ac:dyDescent="0.25">
      <c r="A41" s="15" t="s">
        <v>36</v>
      </c>
      <c r="L41" s="13"/>
      <c r="M41" s="13"/>
      <c r="N41" s="13"/>
      <c r="O41" s="13"/>
    </row>
    <row r="42" spans="1:25" s="11" customFormat="1" ht="15" hidden="1" customHeight="1" x14ac:dyDescent="0.25">
      <c r="A42" s="15" t="s">
        <v>37</v>
      </c>
      <c r="L42" s="13"/>
      <c r="M42" s="13"/>
      <c r="N42" s="13"/>
      <c r="O42" s="13"/>
    </row>
    <row r="43" spans="1:25" s="11" customFormat="1" ht="15" hidden="1" customHeight="1" x14ac:dyDescent="0.25">
      <c r="A43" s="15" t="s">
        <v>38</v>
      </c>
      <c r="L43" s="13"/>
      <c r="M43" s="13"/>
      <c r="N43" s="13"/>
      <c r="O43" s="13"/>
    </row>
    <row r="44" spans="1:25" s="11" customFormat="1" ht="15" hidden="1" customHeight="1" x14ac:dyDescent="0.25">
      <c r="A44" s="15" t="s">
        <v>39</v>
      </c>
      <c r="L44" s="13"/>
      <c r="M44" s="13"/>
      <c r="N44" s="13"/>
      <c r="O44" s="13"/>
    </row>
    <row r="45" spans="1:25" s="11" customFormat="1" ht="15" hidden="1" customHeight="1" x14ac:dyDescent="0.25">
      <c r="A45" s="15" t="s">
        <v>40</v>
      </c>
      <c r="L45" s="13"/>
      <c r="M45" s="13"/>
      <c r="N45" s="13"/>
      <c r="O45" s="13"/>
    </row>
    <row r="46" spans="1:25" s="11" customFormat="1" ht="15" hidden="1" customHeight="1" x14ac:dyDescent="0.25">
      <c r="A46" s="15" t="s">
        <v>41</v>
      </c>
      <c r="L46" s="13"/>
      <c r="M46" s="13"/>
      <c r="N46" s="13"/>
      <c r="O46" s="13"/>
    </row>
    <row r="47" spans="1:25" s="11" customFormat="1" ht="15" customHeight="1" x14ac:dyDescent="0.25">
      <c r="A47" s="15" t="s">
        <v>42</v>
      </c>
      <c r="B47" s="11">
        <v>1215548.28</v>
      </c>
      <c r="C47" s="11">
        <v>1067272.23</v>
      </c>
      <c r="D47" s="11">
        <f>B47-C47</f>
        <v>148276.05000000005</v>
      </c>
      <c r="E47" s="11">
        <f>D47/C47*100</f>
        <v>13.892992418625944</v>
      </c>
      <c r="G47" s="11">
        <v>342226.92</v>
      </c>
      <c r="H47" s="11">
        <v>362037.94</v>
      </c>
      <c r="I47" s="11">
        <f>G47-H47</f>
        <v>-19811.020000000019</v>
      </c>
      <c r="J47" s="11">
        <f>I47/H47*100</f>
        <v>-5.4720839478867935</v>
      </c>
      <c r="L47" s="13">
        <v>374697.29</v>
      </c>
      <c r="M47" s="13">
        <v>349300.07</v>
      </c>
      <c r="N47" s="13">
        <f>L47-M47</f>
        <v>25397.219999999972</v>
      </c>
      <c r="O47" s="13">
        <f>N47/M47*100</f>
        <v>7.2708888950408657</v>
      </c>
      <c r="Q47" s="11">
        <v>369152.25</v>
      </c>
      <c r="R47" s="11">
        <v>374943.4</v>
      </c>
      <c r="S47" s="11">
        <f>Q47-R47</f>
        <v>-5791.1500000000233</v>
      </c>
      <c r="T47" s="11">
        <f>S47/R47*100</f>
        <v>-1.5445397892055235</v>
      </c>
      <c r="V47" s="11">
        <f>+B47+G47+L47+Q47</f>
        <v>2301624.7400000002</v>
      </c>
      <c r="W47" s="11">
        <f>+C47+H47+M47+R47</f>
        <v>2153553.64</v>
      </c>
      <c r="X47" s="11">
        <f>V47-W47</f>
        <v>148071.10000000009</v>
      </c>
      <c r="Y47" s="11">
        <f>X47/W47*100</f>
        <v>6.8756634267071277</v>
      </c>
    </row>
    <row r="48" spans="1:25" s="12" customFormat="1" ht="15" customHeight="1" x14ac:dyDescent="0.25">
      <c r="A48" s="24" t="s">
        <v>43</v>
      </c>
      <c r="B48" s="12">
        <f>B47/(B14/6)</f>
        <v>1.9599885680525908</v>
      </c>
      <c r="C48" s="12">
        <f>C47/(C14/6)</f>
        <v>1.8060614092695459</v>
      </c>
      <c r="D48" s="12">
        <f>B48-C48</f>
        <v>0.15392715878304486</v>
      </c>
      <c r="E48" s="11">
        <f>D48/C48*100</f>
        <v>8.5228086926069722</v>
      </c>
      <c r="G48" s="12">
        <f>G47/(G14/6)</f>
        <v>0.9367210149871521</v>
      </c>
      <c r="H48" s="12">
        <f>H47/(H14/6)</f>
        <v>1.1595983816016084</v>
      </c>
      <c r="I48" s="12">
        <f>G48-H48</f>
        <v>-0.22287736661445634</v>
      </c>
      <c r="J48" s="11">
        <f>I48/H48*100</f>
        <v>-19.220220565211868</v>
      </c>
      <c r="L48" s="14">
        <f>L47/(L14/6)</f>
        <v>2.000074656827227</v>
      </c>
      <c r="M48" s="14">
        <f>M47/(M14/6)</f>
        <v>2.1172247158374708</v>
      </c>
      <c r="N48" s="14">
        <f>L48-M48</f>
        <v>-0.11715005901024389</v>
      </c>
      <c r="O48" s="13">
        <f>N48/M48*100</f>
        <v>-5.5331896578538213</v>
      </c>
      <c r="Q48" s="12">
        <f>Q47/(Q14/6)</f>
        <v>1.1138326200139956</v>
      </c>
      <c r="R48" s="12">
        <f>R47/(R14/6)</f>
        <v>1.2869474816414137</v>
      </c>
      <c r="S48" s="12">
        <f>Q48-R48</f>
        <v>-0.17311486162741807</v>
      </c>
      <c r="T48" s="11">
        <f>S48/R48*100</f>
        <v>-13.451587115786721</v>
      </c>
      <c r="V48" s="12">
        <f>V47/(V14/3)</f>
        <v>0.76501834140996583</v>
      </c>
      <c r="W48" s="12">
        <f>W47/(W14/3)</f>
        <v>0.79205505687241207</v>
      </c>
      <c r="X48" s="12">
        <f>V48-W48</f>
        <v>-2.7036715462446237E-2</v>
      </c>
      <c r="Y48" s="11">
        <f>X48/W48*100</f>
        <v>-3.413489406810446</v>
      </c>
    </row>
    <row r="49" spans="1:25" s="17" customFormat="1" ht="15" customHeight="1" x14ac:dyDescent="0.25">
      <c r="A49" s="18" t="s">
        <v>44</v>
      </c>
      <c r="B49" s="15"/>
      <c r="C49" s="15"/>
      <c r="D49" s="11"/>
      <c r="E49" s="11"/>
      <c r="F49" s="11"/>
      <c r="G49" s="15"/>
      <c r="H49" s="15"/>
      <c r="I49" s="11"/>
      <c r="J49" s="11"/>
      <c r="K49" s="11"/>
      <c r="L49" s="28"/>
      <c r="M49" s="28"/>
      <c r="N49" s="13"/>
      <c r="O49" s="13"/>
      <c r="P49" s="11"/>
      <c r="Q49" s="15"/>
      <c r="R49" s="15"/>
      <c r="S49" s="11"/>
      <c r="T49" s="11"/>
      <c r="U49" s="11"/>
      <c r="V49" s="15"/>
      <c r="W49" s="15"/>
      <c r="X49" s="11"/>
      <c r="Y49" s="11"/>
    </row>
    <row r="50" spans="1:25" s="11" customFormat="1" ht="15" customHeight="1" x14ac:dyDescent="0.25">
      <c r="A50" s="15" t="s">
        <v>42</v>
      </c>
      <c r="B50" s="11">
        <v>2387486.9700000002</v>
      </c>
      <c r="C50" s="11">
        <v>1733301.26</v>
      </c>
      <c r="D50" s="11">
        <f t="shared" ref="D50:D55" si="12">B50-C50</f>
        <v>654185.7100000002</v>
      </c>
      <c r="E50" s="11">
        <f t="shared" ref="E50:E55" si="13">D50/C50*100</f>
        <v>37.742181644753444</v>
      </c>
      <c r="G50" s="11">
        <v>269218.21999999997</v>
      </c>
      <c r="H50" s="11">
        <v>311063.39</v>
      </c>
      <c r="I50" s="11">
        <f t="shared" ref="I50:I55" si="14">G50-H50</f>
        <v>-41845.170000000042</v>
      </c>
      <c r="J50" s="11">
        <f t="shared" ref="J50:J55" si="15">I50/H50*100</f>
        <v>-13.452296652460467</v>
      </c>
      <c r="L50" s="13">
        <v>572240.9</v>
      </c>
      <c r="M50" s="13">
        <v>342239.74</v>
      </c>
      <c r="N50" s="13">
        <f t="shared" ref="N50:N55" si="16">L50-M50</f>
        <v>230001.16000000003</v>
      </c>
      <c r="O50" s="13">
        <f t="shared" ref="O50:O55" si="17">N50/M50*100</f>
        <v>67.204691074157566</v>
      </c>
      <c r="Q50" s="11">
        <v>411862.98</v>
      </c>
      <c r="R50" s="11">
        <v>430174.87</v>
      </c>
      <c r="S50" s="11">
        <f t="shared" ref="S50:S55" si="18">Q50-R50</f>
        <v>-18311.890000000014</v>
      </c>
      <c r="T50" s="11">
        <f t="shared" ref="T50:T55" si="19">S50/R50*100</f>
        <v>-4.2568479186150538</v>
      </c>
      <c r="V50" s="11">
        <f>+B50+G50+L50+Q50</f>
        <v>3640809.0700000003</v>
      </c>
      <c r="W50" s="11">
        <f>+C50+H50+M50+R50</f>
        <v>2816779.26</v>
      </c>
      <c r="X50" s="11">
        <f t="shared" ref="X50:X55" si="20">V50-W50</f>
        <v>824029.81000000052</v>
      </c>
      <c r="Y50" s="11">
        <f t="shared" ref="Y50:Y55" si="21">X50/W50*100</f>
        <v>29.254326801596818</v>
      </c>
    </row>
    <row r="51" spans="1:25" s="12" customFormat="1" ht="15" customHeight="1" x14ac:dyDescent="0.25">
      <c r="A51" s="24" t="s">
        <v>45</v>
      </c>
      <c r="B51" s="12">
        <f>B50/(B23/6)</f>
        <v>4.328634382582619</v>
      </c>
      <c r="C51" s="12">
        <f>C50/(C23/6)</f>
        <v>3.296202179023997</v>
      </c>
      <c r="D51" s="12">
        <f t="shared" si="12"/>
        <v>1.032432203558622</v>
      </c>
      <c r="E51" s="11">
        <f t="shared" si="13"/>
        <v>31.321871277456786</v>
      </c>
      <c r="G51" s="12">
        <f>G50/(G23/6)</f>
        <v>0.95432961129013316</v>
      </c>
      <c r="H51" s="12">
        <f>H50/(H23/6)</f>
        <v>1.2245974979239795</v>
      </c>
      <c r="I51" s="12">
        <f t="shared" si="14"/>
        <v>-0.27026788663384638</v>
      </c>
      <c r="J51" s="11">
        <f t="shared" si="15"/>
        <v>-22.069936211042631</v>
      </c>
      <c r="L51" s="14">
        <f>L50/(L23/6)</f>
        <v>3.7520193175207401</v>
      </c>
      <c r="M51" s="14">
        <f>M50/(M23/6)</f>
        <v>2.2943638029138613</v>
      </c>
      <c r="N51" s="14">
        <f t="shared" si="16"/>
        <v>1.4576555146068788</v>
      </c>
      <c r="O51" s="13">
        <f t="shared" si="17"/>
        <v>63.532013221078721</v>
      </c>
      <c r="Q51" s="12">
        <f>Q50/(Q23/6)</f>
        <v>1.7178941112735504</v>
      </c>
      <c r="R51" s="12">
        <f>R50/(R23/6)</f>
        <v>1.9792193193906615</v>
      </c>
      <c r="S51" s="12">
        <f t="shared" si="18"/>
        <v>-0.26132520811711113</v>
      </c>
      <c r="T51" s="11">
        <f t="shared" si="19"/>
        <v>-13.203448731369742</v>
      </c>
      <c r="V51" s="12">
        <f>V50/(V23/9)</f>
        <v>4.4547779119931477</v>
      </c>
      <c r="W51" s="12">
        <f>W50/(W23/9)</f>
        <v>3.6856877959671115</v>
      </c>
      <c r="X51" s="12">
        <f t="shared" si="20"/>
        <v>0.76909011602603616</v>
      </c>
      <c r="Y51" s="11">
        <f t="shared" si="21"/>
        <v>20.866936067335288</v>
      </c>
    </row>
    <row r="52" spans="1:25" s="11" customFormat="1" ht="15" customHeight="1" x14ac:dyDescent="0.25">
      <c r="A52" s="15" t="s">
        <v>46</v>
      </c>
      <c r="B52" s="11">
        <v>260035.46939500002</v>
      </c>
      <c r="C52" s="11">
        <v>457873.73771611106</v>
      </c>
      <c r="D52" s="11">
        <f t="shared" si="12"/>
        <v>-197838.26832111104</v>
      </c>
      <c r="E52" s="11">
        <f t="shared" si="13"/>
        <v>-43.208040126506205</v>
      </c>
      <c r="G52" s="11">
        <v>137063.73006333332</v>
      </c>
      <c r="H52" s="11">
        <v>163781.24833111113</v>
      </c>
      <c r="I52" s="11">
        <f t="shared" si="14"/>
        <v>-26717.518267777807</v>
      </c>
      <c r="J52" s="11">
        <f t="shared" si="15"/>
        <v>-16.312928702169792</v>
      </c>
      <c r="L52" s="13">
        <v>78406.127931666662</v>
      </c>
      <c r="M52" s="13">
        <v>75629.281510000001</v>
      </c>
      <c r="N52" s="13">
        <f t="shared" si="16"/>
        <v>2776.8464216666616</v>
      </c>
      <c r="O52" s="13">
        <f t="shared" si="17"/>
        <v>3.6716551661270191</v>
      </c>
      <c r="Q52" s="11">
        <v>115245.42796333332</v>
      </c>
      <c r="R52" s="11">
        <v>148223.67758611112</v>
      </c>
      <c r="S52" s="11">
        <f t="shared" si="18"/>
        <v>-32978.249622777803</v>
      </c>
      <c r="T52" s="11">
        <f t="shared" si="19"/>
        <v>-22.248975440255801</v>
      </c>
      <c r="V52" s="11">
        <f t="shared" ref="V52:W55" si="22">+B52+G52+L52+Q52</f>
        <v>590750.75535333331</v>
      </c>
      <c r="W52" s="11">
        <f t="shared" si="22"/>
        <v>845507.94514333329</v>
      </c>
      <c r="X52" s="11">
        <f t="shared" si="20"/>
        <v>-254757.18978999997</v>
      </c>
      <c r="Y52" s="11">
        <f t="shared" si="21"/>
        <v>-30.130667754613789</v>
      </c>
    </row>
    <row r="53" spans="1:25" s="11" customFormat="1" ht="15" customHeight="1" x14ac:dyDescent="0.25">
      <c r="A53" s="15" t="s">
        <v>47</v>
      </c>
      <c r="B53" s="11">
        <v>175.72843</v>
      </c>
      <c r="C53" s="11">
        <v>1532.94</v>
      </c>
      <c r="D53" s="11">
        <f t="shared" si="12"/>
        <v>-1357.2115699999999</v>
      </c>
      <c r="E53" s="11">
        <f t="shared" si="13"/>
        <v>-88.536509582893004</v>
      </c>
      <c r="G53" s="11">
        <v>0</v>
      </c>
      <c r="H53" s="11">
        <v>0</v>
      </c>
      <c r="I53" s="11">
        <f t="shared" si="14"/>
        <v>0</v>
      </c>
      <c r="L53" s="13">
        <v>1594.5237099999999</v>
      </c>
      <c r="M53" s="13">
        <v>3082.63994</v>
      </c>
      <c r="N53" s="13">
        <f t="shared" si="16"/>
        <v>-1488.1162300000001</v>
      </c>
      <c r="O53" s="13">
        <f t="shared" si="17"/>
        <v>-48.27408516610604</v>
      </c>
      <c r="Q53" s="11">
        <v>633.09965</v>
      </c>
      <c r="R53" s="11">
        <v>298.72467999999998</v>
      </c>
      <c r="S53" s="11">
        <f t="shared" si="18"/>
        <v>334.37497000000002</v>
      </c>
      <c r="T53" s="11">
        <f t="shared" si="19"/>
        <v>111.93416292219311</v>
      </c>
      <c r="V53" s="11">
        <f t="shared" si="22"/>
        <v>2403.3517900000002</v>
      </c>
      <c r="W53" s="11">
        <f t="shared" si="22"/>
        <v>4914.3046199999999</v>
      </c>
      <c r="X53" s="11">
        <f t="shared" si="20"/>
        <v>-2510.9528299999997</v>
      </c>
      <c r="Y53" s="11">
        <f t="shared" si="21"/>
        <v>-51.094773811559115</v>
      </c>
    </row>
    <row r="54" spans="1:25" s="11" customFormat="1" ht="15" customHeight="1" x14ac:dyDescent="0.25">
      <c r="A54" s="15" t="s">
        <v>48</v>
      </c>
      <c r="B54" s="11">
        <v>67378.907519999993</v>
      </c>
      <c r="C54" s="11">
        <v>83655.872609999991</v>
      </c>
      <c r="D54" s="11">
        <f t="shared" si="12"/>
        <v>-16276.965089999998</v>
      </c>
      <c r="E54" s="11">
        <f t="shared" si="13"/>
        <v>-19.457050153409426</v>
      </c>
      <c r="G54" s="11">
        <v>30790.61767</v>
      </c>
      <c r="H54" s="11">
        <v>39891.857779999991</v>
      </c>
      <c r="I54" s="11">
        <f t="shared" si="14"/>
        <v>-9101.2401099999915</v>
      </c>
      <c r="J54" s="11">
        <f t="shared" si="15"/>
        <v>-22.81478130247158</v>
      </c>
      <c r="L54" s="13">
        <v>17701.515529999997</v>
      </c>
      <c r="M54" s="13">
        <v>21737.546900000001</v>
      </c>
      <c r="N54" s="13">
        <f t="shared" si="16"/>
        <v>-4036.0313700000042</v>
      </c>
      <c r="O54" s="13">
        <f t="shared" si="17"/>
        <v>-18.567096777603751</v>
      </c>
      <c r="Q54" s="11">
        <v>35604.91807</v>
      </c>
      <c r="R54" s="11">
        <v>39921.05891</v>
      </c>
      <c r="S54" s="11">
        <f t="shared" si="18"/>
        <v>-4316.14084</v>
      </c>
      <c r="T54" s="11">
        <f t="shared" si="19"/>
        <v>-10.811689263379813</v>
      </c>
      <c r="V54" s="11">
        <f t="shared" si="22"/>
        <v>151475.95879</v>
      </c>
      <c r="W54" s="11">
        <f t="shared" si="22"/>
        <v>185206.33619999999</v>
      </c>
      <c r="X54" s="11">
        <f t="shared" si="20"/>
        <v>-33730.377409999986</v>
      </c>
      <c r="Y54" s="11">
        <f t="shared" si="21"/>
        <v>-18.212323672109868</v>
      </c>
    </row>
    <row r="55" spans="1:25" s="11" customFormat="1" ht="15" customHeight="1" x14ac:dyDescent="0.25">
      <c r="A55" s="15" t="s">
        <v>49</v>
      </c>
      <c r="B55" s="11">
        <f>B15</f>
        <v>47367.510580000002</v>
      </c>
      <c r="C55" s="11">
        <f>C15</f>
        <v>46077.888760000002</v>
      </c>
      <c r="D55" s="11">
        <f t="shared" si="12"/>
        <v>1289.6218200000003</v>
      </c>
      <c r="E55" s="11">
        <f t="shared" si="13"/>
        <v>2.7987866951046483</v>
      </c>
      <c r="G55" s="11">
        <f>G15</f>
        <v>39069.553079999998</v>
      </c>
      <c r="H55" s="11">
        <f>H15</f>
        <v>39143.095730000001</v>
      </c>
      <c r="I55" s="11">
        <f t="shared" si="14"/>
        <v>-73.54265000000305</v>
      </c>
      <c r="J55" s="11">
        <f t="shared" si="15"/>
        <v>-0.18788153728893392</v>
      </c>
      <c r="L55" s="13">
        <f>L15</f>
        <v>23285.552329999999</v>
      </c>
      <c r="M55" s="13">
        <f>M15</f>
        <v>22957.483130000001</v>
      </c>
      <c r="N55" s="13">
        <f t="shared" si="16"/>
        <v>328.06919999999809</v>
      </c>
      <c r="O55" s="13">
        <f t="shared" si="17"/>
        <v>1.4290294721867365</v>
      </c>
      <c r="Q55" s="11">
        <f>Q15</f>
        <v>66193.36791999999</v>
      </c>
      <c r="R55" s="11">
        <f>R15</f>
        <v>60565.747010000006</v>
      </c>
      <c r="S55" s="11">
        <f t="shared" si="18"/>
        <v>5627.6209099999833</v>
      </c>
      <c r="T55" s="11">
        <f t="shared" si="19"/>
        <v>9.2917551385452359</v>
      </c>
      <c r="V55" s="11">
        <f t="shared" si="22"/>
        <v>175915.98390999998</v>
      </c>
      <c r="W55" s="11">
        <f t="shared" si="22"/>
        <v>168744.21463</v>
      </c>
      <c r="X55" s="11">
        <f t="shared" si="20"/>
        <v>7171.7692799999786</v>
      </c>
      <c r="Y55" s="11">
        <f t="shared" si="21"/>
        <v>4.2500830595735009</v>
      </c>
    </row>
    <row r="56" spans="1:25" s="17" customFormat="1" ht="9.9" customHeigh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3"/>
      <c r="N56" s="13"/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7" customFormat="1" ht="20.100000000000001" customHeight="1" x14ac:dyDescent="0.3">
      <c r="A57" s="20" t="s">
        <v>50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3"/>
      <c r="N57" s="13"/>
      <c r="O57" s="13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11" customFormat="1" ht="15" customHeight="1" x14ac:dyDescent="0.25">
      <c r="A58" s="15" t="s">
        <v>51</v>
      </c>
      <c r="B58" s="11">
        <f>+'[5]financial profile(mcso)'!$D$120</f>
        <v>463836.18654000002</v>
      </c>
      <c r="C58" s="11">
        <v>427467.82654000004</v>
      </c>
      <c r="D58" s="11">
        <f>B58-C58</f>
        <v>36368.359999999986</v>
      </c>
      <c r="E58" s="11">
        <f>D58/C58*100</f>
        <v>8.507859011138196</v>
      </c>
      <c r="G58" s="11">
        <f>+'[5]financial profile(mcso)'!$D$121</f>
        <v>81911.395969999998</v>
      </c>
      <c r="H58" s="11">
        <v>79070.287970000005</v>
      </c>
      <c r="I58" s="11">
        <f>G58-H58</f>
        <v>2841.1079999999929</v>
      </c>
      <c r="J58" s="11">
        <f>I58/H58*100</f>
        <v>3.5931423458049569</v>
      </c>
      <c r="L58" s="13">
        <f>+'[5]financial profile(mcso)'!$D$122</f>
        <v>383918.72495</v>
      </c>
      <c r="M58" s="13">
        <v>366492.94094999996</v>
      </c>
      <c r="N58" s="13">
        <f>L58-M58</f>
        <v>17425.784000000043</v>
      </c>
      <c r="O58" s="13">
        <f>N58/M58*100</f>
        <v>4.7547393286293644</v>
      </c>
      <c r="Q58" s="11">
        <f>+'[5]financial profile(mcso)'!$D$123</f>
        <v>305126.61129999999</v>
      </c>
      <c r="R58" s="11">
        <v>260863.5723</v>
      </c>
      <c r="S58" s="11">
        <f>Q58-R58</f>
        <v>44263.03899999999</v>
      </c>
      <c r="T58" s="11">
        <f>S58/R58*100</f>
        <v>16.9678880840811</v>
      </c>
      <c r="V58" s="11">
        <f>+B58+G58+L58+Q58</f>
        <v>1234792.91876</v>
      </c>
      <c r="W58" s="11">
        <f>+C58+H58+M58+R58</f>
        <v>1133894.6277600001</v>
      </c>
      <c r="X58" s="11">
        <f>V58-W58</f>
        <v>100898.29099999997</v>
      </c>
      <c r="Y58" s="11">
        <f>X58/W58*100</f>
        <v>8.8983833708890341</v>
      </c>
    </row>
    <row r="59" spans="1:25" s="11" customFormat="1" ht="15" customHeight="1" x14ac:dyDescent="0.25">
      <c r="A59" s="15" t="s">
        <v>52</v>
      </c>
      <c r="B59" s="11">
        <f>+'[5]financial profile(mcso)'!$E$120</f>
        <v>472928.27518</v>
      </c>
      <c r="C59" s="11">
        <v>436559.91518000001</v>
      </c>
      <c r="D59" s="11">
        <f>B59-C59</f>
        <v>36368.359999999986</v>
      </c>
      <c r="E59" s="11">
        <f>D59/C59*100</f>
        <v>8.3306686517484749</v>
      </c>
      <c r="G59" s="11">
        <f>+'[5]financial profile(mcso)'!$E$121</f>
        <v>84929.408510000008</v>
      </c>
      <c r="H59" s="11">
        <v>82088.300510000001</v>
      </c>
      <c r="I59" s="11">
        <f>G59-H59</f>
        <v>2841.1080000000075</v>
      </c>
      <c r="J59" s="11">
        <f>I59/H59*100</f>
        <v>3.4610388841634059</v>
      </c>
      <c r="L59" s="13">
        <f>+'[5]financial profile(mcso)'!$E$122</f>
        <v>383918.72495</v>
      </c>
      <c r="M59" s="13">
        <v>369558.57556000003</v>
      </c>
      <c r="N59" s="13">
        <f>L59-M59</f>
        <v>14360.149389999977</v>
      </c>
      <c r="O59" s="13">
        <f>N59/M59*100</f>
        <v>3.8857573168853499</v>
      </c>
      <c r="Q59" s="11">
        <f>+'[5]financial profile(mcso)'!$E$123</f>
        <v>319370.99830000004</v>
      </c>
      <c r="R59" s="11">
        <v>272711.92843999999</v>
      </c>
      <c r="S59" s="11">
        <f>Q59-R59</f>
        <v>46659.069860000047</v>
      </c>
      <c r="T59" s="11">
        <f>S59/R59*100</f>
        <v>17.109288224723045</v>
      </c>
      <c r="V59" s="11">
        <f>+B59+G59+L59+Q59</f>
        <v>1261147.4069400001</v>
      </c>
      <c r="W59" s="11">
        <f>+C59+H59+M59+R59</f>
        <v>1160918.7196899999</v>
      </c>
      <c r="X59" s="11">
        <f>V59-W59</f>
        <v>100228.68725000019</v>
      </c>
      <c r="Y59" s="11">
        <f>X59/W59*100</f>
        <v>8.633566291080589</v>
      </c>
    </row>
    <row r="60" spans="1:25" s="12" customFormat="1" ht="15" customHeight="1" x14ac:dyDescent="0.25">
      <c r="A60" s="34" t="s">
        <v>53</v>
      </c>
      <c r="B60" s="12">
        <f>+'[5]financial profile(mcso)'!$I$120</f>
        <v>-0.99999985041942752</v>
      </c>
      <c r="C60" s="12">
        <v>-0.99999985041942752</v>
      </c>
      <c r="D60" s="12">
        <f>B60-C60</f>
        <v>0</v>
      </c>
      <c r="E60" s="11">
        <f>D60/C60*100</f>
        <v>0</v>
      </c>
      <c r="G60" s="12">
        <f>+'[5]financial profile(mcso)'!$I$121</f>
        <v>-4.2490641538442189</v>
      </c>
      <c r="H60" s="12">
        <v>-4.2490641538441984</v>
      </c>
      <c r="I60" s="12">
        <f>G60-H60</f>
        <v>-2.042810365310288E-14</v>
      </c>
      <c r="J60" s="11">
        <f>I60/H60*100</f>
        <v>4.8076712691243404E-13</v>
      </c>
      <c r="L60" s="14">
        <f>+'[5]financial profile(mcso)'!$I$122</f>
        <v>0</v>
      </c>
      <c r="M60" s="14">
        <v>-0.79535376316441853</v>
      </c>
      <c r="N60" s="14">
        <f>L60-M60</f>
        <v>0.79535376316441853</v>
      </c>
      <c r="O60" s="13">
        <f>N60/M60*100</f>
        <v>-100</v>
      </c>
      <c r="Q60" s="12">
        <f>+'[5]financial profile(mcso)'!$I$123</f>
        <v>-1.1451991739418186</v>
      </c>
      <c r="R60" s="12">
        <v>-1.1169022673905062</v>
      </c>
      <c r="S60" s="12">
        <f>Q60-R60</f>
        <v>-2.829690655131234E-2</v>
      </c>
      <c r="T60" s="11">
        <f>S60/R60*100</f>
        <v>2.5335167970805808</v>
      </c>
      <c r="V60" s="12">
        <f>+'[5]financial profile(mcso)'!$I$124</f>
        <v>-0.98468072242408333</v>
      </c>
      <c r="W60" s="12">
        <v>-1.113705459454273</v>
      </c>
      <c r="X60" s="12">
        <f>V60-W60</f>
        <v>0.12902473703018968</v>
      </c>
      <c r="Y60" s="11">
        <f>X60/W60*100</f>
        <v>-11.585175948891651</v>
      </c>
    </row>
    <row r="61" spans="1:25" s="11" customFormat="1" ht="15.75" customHeight="1" x14ac:dyDescent="0.25">
      <c r="A61" s="21" t="s">
        <v>54</v>
      </c>
      <c r="B61" s="11">
        <f>+'[5]financial profile(mcso)'!$F$120</f>
        <v>-9092.0886399999727</v>
      </c>
      <c r="C61" s="11">
        <v>-9092.0886399999727</v>
      </c>
      <c r="D61" s="11">
        <f>B61-C61</f>
        <v>0</v>
      </c>
      <c r="E61" s="11">
        <f>D61/C61*100</f>
        <v>0</v>
      </c>
      <c r="G61" s="11">
        <f>+'[5]financial profile(mcso)'!$F$121</f>
        <v>-3018.0125400000106</v>
      </c>
      <c r="H61" s="11">
        <v>-3018.0125399999961</v>
      </c>
      <c r="I61" s="11">
        <f>G61-H61</f>
        <v>-1.4551915228366852E-11</v>
      </c>
      <c r="J61" s="11">
        <f>I61/H61*100</f>
        <v>4.8216881260429986E-13</v>
      </c>
      <c r="L61" s="13">
        <f>+'[5]financial profile(mcso)'!$F$122</f>
        <v>0</v>
      </c>
      <c r="M61" s="13">
        <v>-3065.6346100000665</v>
      </c>
      <c r="N61" s="13">
        <f>L61-M61</f>
        <v>3065.6346100000665</v>
      </c>
      <c r="O61" s="13">
        <f>N61/M61*100</f>
        <v>-100</v>
      </c>
      <c r="Q61" s="11">
        <f>+'[5]financial profile(mcso)'!$F$123</f>
        <v>-14244.387000000046</v>
      </c>
      <c r="R61" s="11">
        <v>-11848.356139999989</v>
      </c>
      <c r="S61" s="11">
        <f>Q61-R61</f>
        <v>-2396.0308600000571</v>
      </c>
      <c r="T61" s="11">
        <f>S61/R61*100</f>
        <v>20.222475014158878</v>
      </c>
      <c r="V61" s="11">
        <f>+B61+G61+L61+Q61</f>
        <v>-26354.488180000029</v>
      </c>
      <c r="W61" s="11">
        <f>+C61+H61+M61+R61</f>
        <v>-27024.091930000024</v>
      </c>
      <c r="X61" s="11">
        <f>V61-W61</f>
        <v>669.60374999999476</v>
      </c>
      <c r="Y61" s="11">
        <f>X61/W61*100</f>
        <v>-2.4778029609078307</v>
      </c>
    </row>
    <row r="62" spans="1:25" s="11" customFormat="1" ht="18" customHeight="1" x14ac:dyDescent="0.25">
      <c r="A62" s="15" t="s">
        <v>55</v>
      </c>
      <c r="B62" s="11">
        <f>+'[5]financial profile(mcso)'!$K$120</f>
        <v>205113.99605000002</v>
      </c>
      <c r="C62" s="11">
        <v>232232.77005000002</v>
      </c>
      <c r="D62" s="11">
        <f>B62-C62</f>
        <v>-27118.774000000005</v>
      </c>
      <c r="E62" s="11">
        <f>D62/C62*100</f>
        <v>-11.677410554144146</v>
      </c>
      <c r="G62" s="11">
        <f>+'[5]financial profile(mcso)'!$K$121</f>
        <v>18616.27866</v>
      </c>
      <c r="H62" s="11">
        <v>20103.15566</v>
      </c>
      <c r="I62" s="11">
        <f>G62-H62</f>
        <v>-1486.8770000000004</v>
      </c>
      <c r="J62" s="11">
        <f>I62/H62*100</f>
        <v>-7.3962368154890976</v>
      </c>
      <c r="L62" s="13">
        <f>+'[5]financial profile(mcso)'!$K$122</f>
        <v>176182.326</v>
      </c>
      <c r="M62" s="13">
        <v>104702.68349</v>
      </c>
      <c r="N62" s="13">
        <f>L62-M62</f>
        <v>71479.642510000005</v>
      </c>
      <c r="O62" s="13">
        <f>N62/M62*100</f>
        <v>68.269159994191469</v>
      </c>
      <c r="Q62" s="11">
        <f>+'[5]financial profile(mcso)'!$K$123</f>
        <v>276710.61245000002</v>
      </c>
      <c r="R62" s="11">
        <v>263697.20331000001</v>
      </c>
      <c r="S62" s="11">
        <f>Q62-R62</f>
        <v>13013.409140000003</v>
      </c>
      <c r="T62" s="11">
        <f>S62/R62*100</f>
        <v>4.9349818567099319</v>
      </c>
      <c r="V62" s="11">
        <f>+B62+G62+L62+Q62</f>
        <v>676623.21316000004</v>
      </c>
      <c r="W62" s="11">
        <f>+C62+H62+M62+R62</f>
        <v>620735.81251000008</v>
      </c>
      <c r="X62" s="11">
        <f>V62-W62</f>
        <v>55887.400649999967</v>
      </c>
      <c r="Y62" s="11">
        <f>X62/W62*100</f>
        <v>9.0034116807300553</v>
      </c>
    </row>
    <row r="63" spans="1:25" s="22" customFormat="1" ht="17.25" customHeight="1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13"/>
      <c r="M63" s="13"/>
      <c r="N63" s="13"/>
      <c r="O63" s="13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s="22" customFormat="1" ht="15.6" x14ac:dyDescent="0.3">
      <c r="A64" s="20" t="s">
        <v>56</v>
      </c>
      <c r="B64" s="32"/>
      <c r="C64" s="32"/>
      <c r="D64" s="31"/>
      <c r="E64" s="31"/>
      <c r="F64" s="31"/>
      <c r="G64" s="32"/>
      <c r="H64" s="32"/>
      <c r="I64" s="31"/>
      <c r="J64" s="31"/>
      <c r="K64" s="31"/>
      <c r="L64" s="33"/>
      <c r="M64" s="33"/>
      <c r="N64" s="13"/>
      <c r="O64" s="13"/>
      <c r="P64" s="31"/>
      <c r="Q64" s="32"/>
      <c r="R64" s="32"/>
      <c r="S64" s="31"/>
      <c r="T64" s="31"/>
      <c r="U64" s="31"/>
      <c r="V64" s="31"/>
      <c r="W64" s="31"/>
      <c r="X64" s="31"/>
      <c r="Y64" s="31"/>
    </row>
    <row r="65" spans="1:25" s="22" customFormat="1" ht="15.6" x14ac:dyDescent="0.3">
      <c r="B65" s="32"/>
      <c r="C65" s="32"/>
      <c r="D65" s="31"/>
      <c r="E65" s="31"/>
      <c r="F65" s="31"/>
      <c r="G65" s="32"/>
      <c r="H65" s="32"/>
      <c r="I65" s="31"/>
      <c r="J65" s="31"/>
      <c r="K65" s="31"/>
      <c r="L65" s="33"/>
      <c r="M65" s="33"/>
      <c r="N65" s="13"/>
      <c r="O65" s="13"/>
      <c r="P65" s="31"/>
      <c r="Q65" s="32"/>
      <c r="R65" s="35"/>
      <c r="S65" s="31"/>
      <c r="T65" s="31"/>
      <c r="U65" s="31"/>
      <c r="V65" s="31"/>
      <c r="W65" s="31"/>
      <c r="X65" s="31"/>
      <c r="Y65" s="31"/>
    </row>
    <row r="66" spans="1:25" s="11" customFormat="1" ht="15" customHeight="1" x14ac:dyDescent="0.25">
      <c r="A66" s="15" t="s">
        <v>57</v>
      </c>
      <c r="B66" s="11">
        <v>389285.28047</v>
      </c>
      <c r="C66" s="11">
        <v>374302.88829999999</v>
      </c>
      <c r="D66" s="11">
        <f>B66-C66</f>
        <v>14982.392170000006</v>
      </c>
      <c r="E66" s="11">
        <f>D66/C66*100</f>
        <v>4.002745540662719</v>
      </c>
      <c r="G66" s="11">
        <v>151929.02900000001</v>
      </c>
      <c r="H66" s="11">
        <v>153705.872</v>
      </c>
      <c r="I66" s="11">
        <f>G66-H66</f>
        <v>-1776.8429999999935</v>
      </c>
      <c r="J66" s="11">
        <f>I66/H66*100</f>
        <v>-1.1560020296426889</v>
      </c>
      <c r="L66" s="11">
        <v>101555.5116</v>
      </c>
      <c r="M66" s="11">
        <v>101132.958</v>
      </c>
      <c r="N66" s="11">
        <f>L66-M66</f>
        <v>422.55359999999928</v>
      </c>
      <c r="O66" s="11">
        <f>N66/M66*100</f>
        <v>0.41781987628602663</v>
      </c>
      <c r="Q66" s="11">
        <v>149590.53566032572</v>
      </c>
      <c r="R66" s="11">
        <v>149273.63562999998</v>
      </c>
      <c r="S66" s="11">
        <f>Q66-R66</f>
        <v>316.90003032574896</v>
      </c>
      <c r="T66" s="11">
        <f>S66/R66*100</f>
        <v>0.21229470896738889</v>
      </c>
      <c r="V66" s="11">
        <f t="shared" ref="V66:W68" si="23">+B66+G66+L66+Q66</f>
        <v>792360.35673032561</v>
      </c>
      <c r="W66" s="11">
        <f t="shared" si="23"/>
        <v>778415.35392999998</v>
      </c>
      <c r="X66" s="11">
        <f>V66-W66</f>
        <v>13945.00280032563</v>
      </c>
      <c r="Y66" s="11">
        <f>X66/W66*100</f>
        <v>1.7914603983491892</v>
      </c>
    </row>
    <row r="67" spans="1:25" s="11" customFormat="1" ht="15" customHeight="1" x14ac:dyDescent="0.25">
      <c r="A67" s="15" t="s">
        <v>58</v>
      </c>
      <c r="B67" s="11">
        <v>301458.92609000002</v>
      </c>
      <c r="C67" s="11">
        <f>VLOOKUP(C8,[6]Sheet1!$A$13:$E$55,5,)/1000</f>
        <v>292224.76601999998</v>
      </c>
      <c r="D67" s="11">
        <f>B67-C67</f>
        <v>9234.1600700000417</v>
      </c>
      <c r="E67" s="11">
        <f>D67/C67*100</f>
        <v>3.159951223767274</v>
      </c>
      <c r="G67" s="11">
        <v>133950.69864000002</v>
      </c>
      <c r="H67" s="11">
        <v>134211.99815</v>
      </c>
      <c r="I67" s="11">
        <f>G67-H67</f>
        <v>-261.29950999998255</v>
      </c>
      <c r="J67" s="11">
        <f>I67/H67*100</f>
        <v>-0.19469161744238775</v>
      </c>
      <c r="L67" s="11">
        <v>80574.31060300002</v>
      </c>
      <c r="M67" s="11">
        <v>78796.158599999995</v>
      </c>
      <c r="N67" s="11">
        <f>L67-M67</f>
        <v>1778.1520030000247</v>
      </c>
      <c r="O67" s="11">
        <f>N67/M67*100</f>
        <v>2.2566480836034368</v>
      </c>
      <c r="Q67" s="11">
        <v>133100.71593000003</v>
      </c>
      <c r="R67" s="11">
        <v>133761.48684999999</v>
      </c>
      <c r="S67" s="11">
        <f>Q67-R67</f>
        <v>-660.77091999995173</v>
      </c>
      <c r="T67" s="11">
        <f>S67/R67*100</f>
        <v>-0.49399190720789438</v>
      </c>
      <c r="V67" s="11">
        <f t="shared" si="23"/>
        <v>649084.65126300009</v>
      </c>
      <c r="W67" s="11">
        <f t="shared" si="23"/>
        <v>638994.40961999993</v>
      </c>
      <c r="X67" s="11">
        <f>V67-W67</f>
        <v>10090.241643000161</v>
      </c>
      <c r="Y67" s="11">
        <f>X67/W67*100</f>
        <v>1.5790813645773005</v>
      </c>
    </row>
    <row r="68" spans="1:25" s="11" customFormat="1" ht="15" customHeight="1" x14ac:dyDescent="0.25">
      <c r="A68" s="15" t="s">
        <v>59</v>
      </c>
      <c r="B68" s="11">
        <v>321.95011999999991</v>
      </c>
      <c r="C68" s="11">
        <f>VLOOKUP(C8,[6]Sheet1!$A$13:$F$55,6,)/1000</f>
        <v>276.93599999999998</v>
      </c>
      <c r="D68" s="11">
        <f>B68-C68</f>
        <v>45.014119999999934</v>
      </c>
      <c r="E68" s="11">
        <f>D68/C68*100</f>
        <v>16.254340353005723</v>
      </c>
      <c r="G68" s="11">
        <v>586.32979</v>
      </c>
      <c r="H68" s="11">
        <v>578.27642000000003</v>
      </c>
      <c r="I68" s="11">
        <f>G68-H68</f>
        <v>8.0533699999999726</v>
      </c>
      <c r="J68" s="11">
        <f>I68/H68*100</f>
        <v>1.3926505943299523</v>
      </c>
      <c r="L68" s="11">
        <v>180.27838</v>
      </c>
      <c r="M68" s="11">
        <v>79.694000000000003</v>
      </c>
      <c r="N68" s="11">
        <f>L68-M68</f>
        <v>100.58438</v>
      </c>
      <c r="O68" s="11">
        <f>N68/M68*100</f>
        <v>126.2132406454689</v>
      </c>
      <c r="Q68" s="11">
        <v>354.97967999999997</v>
      </c>
      <c r="R68" s="11">
        <v>305.48624999999998</v>
      </c>
      <c r="S68" s="11">
        <f>Q68-R68</f>
        <v>49.493429999999989</v>
      </c>
      <c r="T68" s="11">
        <f>S68/R68*100</f>
        <v>16.201524618538475</v>
      </c>
      <c r="V68" s="11">
        <f t="shared" si="23"/>
        <v>1443.5379699999999</v>
      </c>
      <c r="W68" s="11">
        <f t="shared" si="23"/>
        <v>1240.39267</v>
      </c>
      <c r="X68" s="11">
        <f>V68-W68</f>
        <v>203.14529999999991</v>
      </c>
      <c r="Y68" s="11">
        <f>X68/W68*100</f>
        <v>16.377499231755369</v>
      </c>
    </row>
    <row r="69" spans="1:25" s="12" customFormat="1" ht="15" customHeight="1" x14ac:dyDescent="0.25">
      <c r="A69" s="24" t="s">
        <v>60</v>
      </c>
      <c r="B69" s="12">
        <f>(B66-B67-B68)/B66*100</f>
        <v>22.478220639206377</v>
      </c>
      <c r="C69" s="12">
        <f>(C66-C67-C68)/C66*100</f>
        <v>21.85427599864984</v>
      </c>
      <c r="E69" s="12">
        <f>B69-C69</f>
        <v>0.62394464055653742</v>
      </c>
      <c r="G69" s="12">
        <f>(G66-G67-G68)/G66*100</f>
        <v>11.44745061853847</v>
      </c>
      <c r="H69" s="12">
        <f>(H66-H67-H68)/H66*100</f>
        <v>12.306359662043363</v>
      </c>
      <c r="J69" s="12">
        <f>G69-H69</f>
        <v>-0.85890904350489272</v>
      </c>
      <c r="L69" s="12">
        <f>(L66-L67-L68)/L66*100</f>
        <v>20.482317787860936</v>
      </c>
      <c r="M69" s="12">
        <f>(M66-M67-M68)/M66*100</f>
        <v>22.00776664714979</v>
      </c>
      <c r="O69" s="12">
        <f>L69-M69</f>
        <v>-1.5254488592888542</v>
      </c>
      <c r="Q69" s="12">
        <f>(Q66-Q67-Q68)/Q66*100</f>
        <v>10.786003258229496</v>
      </c>
      <c r="R69" s="12">
        <f>(R66-R67-R68)/R66*100</f>
        <v>10.187105355759057</v>
      </c>
      <c r="T69" s="12">
        <f>Q69-R69</f>
        <v>0.59889790247043884</v>
      </c>
      <c r="V69" s="12">
        <f>(V66-V67-V68)/V66*100</f>
        <v>17.899957549945565</v>
      </c>
      <c r="W69" s="12">
        <f>(W66-W67-W68)/W66*100</f>
        <v>17.751519281109417</v>
      </c>
      <c r="Y69" s="12">
        <f>V69-W69</f>
        <v>0.14843826883614852</v>
      </c>
    </row>
    <row r="70" spans="1:25" s="12" customFormat="1" ht="15" customHeight="1" x14ac:dyDescent="0.25">
      <c r="A70" s="24" t="s">
        <v>61</v>
      </c>
      <c r="B70" s="12">
        <f>B14/(B67+B68)</f>
        <v>12.330429660462014</v>
      </c>
      <c r="C70" s="12">
        <f>C14/(C67+C68)</f>
        <v>12.121756319857466</v>
      </c>
      <c r="D70" s="12">
        <f>B70-C70</f>
        <v>0.20867334060454823</v>
      </c>
      <c r="E70" s="11">
        <f>D70/C70*100</f>
        <v>1.7214777718531298</v>
      </c>
      <c r="G70" s="12">
        <f>G14/(G67+G68)</f>
        <v>16.293460214341973</v>
      </c>
      <c r="H70" s="12">
        <f>H14/(H67+H68)</f>
        <v>13.897579815872911</v>
      </c>
      <c r="I70" s="12">
        <f>G70-H70</f>
        <v>2.3958803984690622</v>
      </c>
      <c r="J70" s="11">
        <f>I70/H70*100</f>
        <v>17.239551275918153</v>
      </c>
      <c r="L70" s="14">
        <f>L14/(L67+L68)</f>
        <v>13.919331708029969</v>
      </c>
      <c r="M70" s="14">
        <f>M14/(M67+M68)</f>
        <v>12.549860580144143</v>
      </c>
      <c r="N70" s="14">
        <f>L70-M70</f>
        <v>1.3694711278858254</v>
      </c>
      <c r="O70" s="13">
        <f>N70/M70*100</f>
        <v>10.912241766673842</v>
      </c>
      <c r="Q70" s="12">
        <f>Q14/(Q67+Q68)</f>
        <v>14.90046165823585</v>
      </c>
      <c r="R70" s="12">
        <f>R14/(R67+R68)</f>
        <v>13.038701263107733</v>
      </c>
      <c r="S70" s="12">
        <f>Q70-R70</f>
        <v>1.8617603951281172</v>
      </c>
      <c r="T70" s="11">
        <f>S70/R70*100</f>
        <v>14.278725753122842</v>
      </c>
      <c r="V70" s="12">
        <f>V14/(V67+V68)</f>
        <v>13.874514775772823</v>
      </c>
      <c r="W70" s="12">
        <f>W14/(W67+W68)</f>
        <v>12.740377576889816</v>
      </c>
      <c r="X70" s="12">
        <f>V70-W70</f>
        <v>1.1341371988830069</v>
      </c>
      <c r="Y70" s="11">
        <f>X70/W70*100</f>
        <v>8.9019119883876527</v>
      </c>
    </row>
    <row r="71" spans="1:25" s="12" customFormat="1" ht="15.75" customHeight="1" x14ac:dyDescent="0.25">
      <c r="A71" s="24" t="s">
        <v>62</v>
      </c>
      <c r="B71" s="12">
        <f>B23/B66</f>
        <v>8.5010657087637611</v>
      </c>
      <c r="C71" s="12">
        <f>C23/C66</f>
        <v>8.4292373453480529</v>
      </c>
      <c r="D71" s="12">
        <f>B71-C71</f>
        <v>7.1828363415708196E-2</v>
      </c>
      <c r="E71" s="11">
        <f>D71/C71*100</f>
        <v>0.8521335972980878</v>
      </c>
      <c r="G71" s="12">
        <f>G23/G66</f>
        <v>11.140804087545375</v>
      </c>
      <c r="H71" s="12">
        <f>H23/H66</f>
        <v>9.9155389349731546</v>
      </c>
      <c r="I71" s="12">
        <f>G71-H71</f>
        <v>1.22526515257222</v>
      </c>
      <c r="J71" s="11">
        <f>I71/H71*100</f>
        <v>12.357020234680137</v>
      </c>
      <c r="L71" s="14">
        <f>L23/L66</f>
        <v>9.0107632978533498</v>
      </c>
      <c r="M71" s="14">
        <f>M23/M66</f>
        <v>8.8496622360239865</v>
      </c>
      <c r="N71" s="14">
        <f>L71-M71</f>
        <v>0.16110106182936335</v>
      </c>
      <c r="O71" s="13">
        <f>N71/M71*100</f>
        <v>1.8204204582359691</v>
      </c>
      <c r="Q71" s="12">
        <f>Q23/Q66</f>
        <v>9.6162002710276795</v>
      </c>
      <c r="R71" s="12">
        <f>R23/R66</f>
        <v>8.7361333510518211</v>
      </c>
      <c r="S71" s="12">
        <f>Q71-R71</f>
        <v>0.8800669199758584</v>
      </c>
      <c r="T71" s="11">
        <f>S71/R71*100</f>
        <v>10.07387232556265</v>
      </c>
      <c r="V71" s="12">
        <f>V23/V66</f>
        <v>9.2830698302002581</v>
      </c>
      <c r="W71" s="12">
        <f>W23/W66</f>
        <v>8.8361969147239297</v>
      </c>
      <c r="X71" s="12">
        <f>V71-W71</f>
        <v>0.44687291547632846</v>
      </c>
      <c r="Y71" s="11">
        <f>X71/W71*100</f>
        <v>5.0572991954456707</v>
      </c>
    </row>
    <row r="72" spans="1:25" s="12" customFormat="1" ht="15" hidden="1" customHeight="1" x14ac:dyDescent="0.25">
      <c r="A72" s="24" t="s">
        <v>63</v>
      </c>
      <c r="E72" s="11">
        <f>B72-C72</f>
        <v>0</v>
      </c>
      <c r="J72" s="11">
        <f>G72-H72</f>
        <v>0</v>
      </c>
      <c r="L72" s="14"/>
      <c r="M72" s="14"/>
      <c r="N72" s="14"/>
      <c r="O72" s="13">
        <f>L72-M72</f>
        <v>0</v>
      </c>
      <c r="T72" s="11">
        <f>Q72-R72</f>
        <v>0</v>
      </c>
      <c r="V72" s="12">
        <v>54.25</v>
      </c>
      <c r="W72" s="25" t="s">
        <v>64</v>
      </c>
      <c r="Y72" s="11">
        <f>V72-W72</f>
        <v>2.25</v>
      </c>
    </row>
    <row r="73" spans="1:25" s="12" customFormat="1" ht="15" customHeight="1" x14ac:dyDescent="0.25">
      <c r="A73" s="24" t="s">
        <v>74</v>
      </c>
      <c r="B73" s="26">
        <v>93.08</v>
      </c>
      <c r="C73" s="26">
        <f>'[7]2 COLL EFF YELLOW ECs'!$D$101</f>
        <v>93.661834066922154</v>
      </c>
      <c r="E73" s="12">
        <f>B73-C73</f>
        <v>-0.58183406692215556</v>
      </c>
      <c r="F73" s="26"/>
      <c r="G73" s="26">
        <v>99.9</v>
      </c>
      <c r="H73" s="26">
        <f>'[7]2 COLL EFF YELLOW ECs'!$D$99</f>
        <v>99.579932987525098</v>
      </c>
      <c r="J73" s="12">
        <f>G73-H73</f>
        <v>0.3200670124749081</v>
      </c>
      <c r="K73" s="26"/>
      <c r="L73" s="27">
        <v>91.61</v>
      </c>
      <c r="M73" s="27">
        <f>'[7]2 COLL EFF YELLOW ECs'!$D$100</f>
        <v>91.147652484113124</v>
      </c>
      <c r="N73" s="14"/>
      <c r="O73" s="14">
        <f>L73-M73</f>
        <v>0.46234751588687573</v>
      </c>
      <c r="P73" s="26"/>
      <c r="Q73" s="26">
        <v>98.6</v>
      </c>
      <c r="R73" s="26">
        <f>'[7]2 COLL EFF YELLOW ECs'!$D$98</f>
        <v>98.18</v>
      </c>
      <c r="T73" s="12">
        <f>Q73-R73</f>
        <v>0.41999999999998749</v>
      </c>
      <c r="U73" s="26"/>
      <c r="V73" s="26">
        <f>+(B73+G73+L73+Q73)/4</f>
        <v>95.797500000000014</v>
      </c>
      <c r="W73" s="26">
        <f>+(C73+H73+M73+R73)/4</f>
        <v>95.642354884640099</v>
      </c>
      <c r="Y73" s="12">
        <f>V73-W73</f>
        <v>0.1551451153599146</v>
      </c>
    </row>
    <row r="74" spans="1:25" s="11" customFormat="1" ht="15" customHeight="1" x14ac:dyDescent="0.25">
      <c r="A74" s="15" t="s">
        <v>65</v>
      </c>
      <c r="B74" s="11">
        <v>122778</v>
      </c>
      <c r="C74" s="11">
        <f>VLOOKUP(C8,[8]Sheet1!$A$11:$D$62,4,)</f>
        <v>122326</v>
      </c>
      <c r="D74" s="11">
        <f>B74-C74</f>
        <v>452</v>
      </c>
      <c r="E74" s="11">
        <f>D74/C74*100</f>
        <v>0.36950443895819368</v>
      </c>
      <c r="G74" s="11">
        <v>186277</v>
      </c>
      <c r="H74" s="11">
        <f>VLOOKUP(H8,[8]Sheet1!$A$11:$D$62,4,)</f>
        <v>180064</v>
      </c>
      <c r="I74" s="11">
        <f>G74-H74</f>
        <v>6213</v>
      </c>
      <c r="J74" s="11">
        <f>I74/H74*100</f>
        <v>3.4504398436111603</v>
      </c>
      <c r="L74" s="13">
        <v>131242</v>
      </c>
      <c r="M74" s="13">
        <v>126408</v>
      </c>
      <c r="N74" s="13">
        <f>L74-M74</f>
        <v>4834</v>
      </c>
      <c r="O74" s="13">
        <f>N74/M74*100</f>
        <v>3.8241250553762423</v>
      </c>
      <c r="Q74" s="11">
        <v>175098</v>
      </c>
      <c r="R74" s="11">
        <f>VLOOKUP(R8,[8]Sheet1!$A$11:$D$62,4,)</f>
        <v>168748</v>
      </c>
      <c r="S74" s="11">
        <f>Q74-R74</f>
        <v>6350</v>
      </c>
      <c r="T74" s="11">
        <f>S74/R74*100</f>
        <v>3.7630075615711003</v>
      </c>
      <c r="V74" s="11">
        <f>+B74+G74+L74+Q74</f>
        <v>615395</v>
      </c>
      <c r="W74" s="11">
        <f>+C74+H74+M74+R74</f>
        <v>597546</v>
      </c>
      <c r="X74" s="11">
        <f>V74-W74</f>
        <v>17849</v>
      </c>
      <c r="Y74" s="11">
        <f>X74/W74*100</f>
        <v>2.9870503693439501</v>
      </c>
    </row>
    <row r="75" spans="1:25" s="11" customFormat="1" ht="15" customHeight="1" x14ac:dyDescent="0.25">
      <c r="A75" s="15" t="s">
        <v>66</v>
      </c>
      <c r="B75" s="11">
        <v>382</v>
      </c>
      <c r="C75" s="11">
        <f>VLOOKUP(C8,[8]Sheet1!$A$11:$D$62,3,)</f>
        <v>0</v>
      </c>
      <c r="D75" s="11">
        <f>B75-C75</f>
        <v>382</v>
      </c>
      <c r="E75" s="11">
        <f t="shared" ref="E75:E76" si="24">IFERROR(D75/C75*100,0)</f>
        <v>0</v>
      </c>
      <c r="G75" s="11">
        <v>348</v>
      </c>
      <c r="H75" s="11">
        <v>317</v>
      </c>
      <c r="I75" s="11">
        <f>G75-H75</f>
        <v>31</v>
      </c>
      <c r="J75" s="11">
        <f>I75/H75*100</f>
        <v>9.7791798107255516</v>
      </c>
      <c r="L75" s="13">
        <v>230</v>
      </c>
      <c r="M75" s="13">
        <v>232</v>
      </c>
      <c r="N75" s="13">
        <f>L75-M75</f>
        <v>-2</v>
      </c>
      <c r="O75" s="13">
        <f>N75/M75*100</f>
        <v>-0.86206896551724133</v>
      </c>
      <c r="Q75" s="11">
        <v>301</v>
      </c>
      <c r="R75" s="11">
        <v>308</v>
      </c>
      <c r="S75" s="11">
        <f>Q75-R75</f>
        <v>-7</v>
      </c>
      <c r="T75" s="11">
        <f>S75/R75*100</f>
        <v>-2.2727272727272729</v>
      </c>
      <c r="V75" s="11">
        <f>+B75+G75+L75+Q75</f>
        <v>1261</v>
      </c>
      <c r="W75" s="11">
        <f>+C75+H75+M75+R75</f>
        <v>857</v>
      </c>
      <c r="X75" s="11">
        <f>V75-W75</f>
        <v>404</v>
      </c>
      <c r="Y75" s="11">
        <f>X75/W75*100</f>
        <v>47.141190198366395</v>
      </c>
    </row>
    <row r="76" spans="1:25" s="11" customFormat="1" ht="15" customHeight="1" x14ac:dyDescent="0.25">
      <c r="A76" s="15" t="s">
        <v>67</v>
      </c>
      <c r="B76" s="11">
        <f>B74/B75</f>
        <v>321.4083769633508</v>
      </c>
      <c r="C76" s="11">
        <f>IFERROR(C74/C75,0)</f>
        <v>0</v>
      </c>
      <c r="D76" s="11">
        <f>B76-C76</f>
        <v>321.4083769633508</v>
      </c>
      <c r="E76" s="11">
        <f t="shared" si="24"/>
        <v>0</v>
      </c>
      <c r="G76" s="11">
        <f>G74/G75</f>
        <v>535.27873563218395</v>
      </c>
      <c r="H76" s="11">
        <f>H74/H75</f>
        <v>568.02523659305996</v>
      </c>
      <c r="I76" s="11">
        <f>G76-H76</f>
        <v>-32.746500960876006</v>
      </c>
      <c r="J76" s="11">
        <f>I76/H76*100</f>
        <v>-5.7649729010783348</v>
      </c>
      <c r="L76" s="13">
        <f>L74/L75</f>
        <v>570.61739130434785</v>
      </c>
      <c r="M76" s="13">
        <f>M74/M75</f>
        <v>544.86206896551721</v>
      </c>
      <c r="N76" s="13">
        <f>L76-M76</f>
        <v>25.755322338830638</v>
      </c>
      <c r="O76" s="13">
        <f>N76/M76*100</f>
        <v>4.7269435341186545</v>
      </c>
      <c r="Q76" s="11">
        <f>Q74/Q75</f>
        <v>581.72093023255809</v>
      </c>
      <c r="R76" s="11">
        <f>R74/R75</f>
        <v>547.88311688311683</v>
      </c>
      <c r="S76" s="11">
        <f>Q76-R76</f>
        <v>33.837813349441262</v>
      </c>
      <c r="T76" s="11">
        <f>S76/R76*100</f>
        <v>6.1761007606774063</v>
      </c>
      <c r="V76" s="11">
        <f>V74/V75</f>
        <v>488.02141157811263</v>
      </c>
      <c r="W76" s="11">
        <f>W74/W75</f>
        <v>697.25320886814472</v>
      </c>
      <c r="X76" s="11">
        <f>V76-W76</f>
        <v>-209.23179729003209</v>
      </c>
      <c r="Y76" s="11">
        <f>X76/W76*100</f>
        <v>-30.008007798154036</v>
      </c>
    </row>
    <row r="77" spans="1:25" s="11" customFormat="1" ht="15" customHeight="1" x14ac:dyDescent="0.25">
      <c r="A77" s="15" t="s">
        <v>68</v>
      </c>
      <c r="B77" s="11">
        <f>(1000*B25)/B74</f>
        <v>1735.2884959846224</v>
      </c>
      <c r="C77" s="11">
        <f>(1000*C25)/C74</f>
        <v>1401.9834909177116</v>
      </c>
      <c r="D77" s="11">
        <f>B77-C77</f>
        <v>333.30500506691078</v>
      </c>
      <c r="E77" s="11">
        <f>D77/C77*100</f>
        <v>23.773818110278579</v>
      </c>
      <c r="G77" s="11">
        <f>(1000*G25)/G74</f>
        <v>996.39613360747705</v>
      </c>
      <c r="H77" s="11">
        <f>(1000*H25)/H74</f>
        <v>729.56036092722582</v>
      </c>
      <c r="I77" s="11">
        <f>G77-H77</f>
        <v>266.83577268025124</v>
      </c>
      <c r="J77" s="11">
        <f>I77/H77*100</f>
        <v>36.574872617958512</v>
      </c>
      <c r="L77" s="13">
        <f>(1000*L25)/L74</f>
        <v>538.66192156474301</v>
      </c>
      <c r="M77" s="13">
        <f>(1000*M25)/M74</f>
        <v>548.85924799063343</v>
      </c>
      <c r="N77" s="13">
        <f>L77-M77</f>
        <v>-10.197326425890424</v>
      </c>
      <c r="O77" s="13">
        <f>N77/M77*100</f>
        <v>-1.8579128370748426</v>
      </c>
      <c r="Q77" s="11">
        <f>(1000*Q25)/Q74</f>
        <v>1084.8398940022159</v>
      </c>
      <c r="R77" s="11">
        <f>(1000*R25)/R74</f>
        <v>995.9020450020148</v>
      </c>
      <c r="S77" s="11">
        <f>Q77-R77</f>
        <v>88.93784900020114</v>
      </c>
      <c r="T77" s="11">
        <f>S77/R77*100</f>
        <v>8.9303812002937715</v>
      </c>
      <c r="V77" s="11">
        <f>(1000*V25)/V74</f>
        <v>1071.3595287742021</v>
      </c>
      <c r="W77" s="11">
        <f>(1000*W25)/W74</f>
        <v>904.20363863200475</v>
      </c>
      <c r="X77" s="11">
        <f>V77-W77</f>
        <v>167.15589014219734</v>
      </c>
      <c r="Y77" s="11">
        <f>X77/W77*100</f>
        <v>18.486531462657261</v>
      </c>
    </row>
    <row r="78" spans="1:25" s="11" customFormat="1" x14ac:dyDescent="0.25">
      <c r="A78" s="15" t="s">
        <v>69</v>
      </c>
      <c r="B78" s="11">
        <v>126529.42766666667</v>
      </c>
      <c r="C78" s="11">
        <v>118058</v>
      </c>
      <c r="D78" s="11">
        <f>B78-C78</f>
        <v>8471.4276666666701</v>
      </c>
      <c r="E78" s="11">
        <f>D78/C78*100</f>
        <v>7.175648974797701</v>
      </c>
      <c r="G78" s="11">
        <v>50460.994440000002</v>
      </c>
      <c r="H78" s="11">
        <f>VLOOKUP(H8,[6]Sheet1!$A$13:$G$55,7,)</f>
        <v>49729.71</v>
      </c>
      <c r="I78" s="11">
        <f>G78-H78</f>
        <v>731.28444000000309</v>
      </c>
      <c r="J78" s="11">
        <f>I78/H78*100</f>
        <v>1.4705182073251646</v>
      </c>
      <c r="L78" s="13">
        <v>31257</v>
      </c>
      <c r="M78" s="13">
        <v>31616</v>
      </c>
      <c r="N78" s="13">
        <f>L78-M78</f>
        <v>-359</v>
      </c>
      <c r="O78" s="13">
        <f>N78/M78*100</f>
        <v>-1.1355010121457489</v>
      </c>
      <c r="Q78" s="11">
        <v>54001.919333333324</v>
      </c>
      <c r="R78" s="11">
        <f>VLOOKUP(R8,[6]Sheet1!$A$13:$G$55,7,)</f>
        <v>49561.4</v>
      </c>
      <c r="S78" s="11">
        <f>Q78-R78</f>
        <v>4440.5193333333227</v>
      </c>
      <c r="T78" s="11">
        <f>S78/R78*100</f>
        <v>8.9596325635137877</v>
      </c>
      <c r="V78" s="11">
        <f>+B78+G78+L78+Q78</f>
        <v>262249.34143999999</v>
      </c>
      <c r="W78" s="11">
        <f>+C78+H78+M78+R78</f>
        <v>248965.11</v>
      </c>
      <c r="X78" s="11">
        <f>V78-W78</f>
        <v>13284.231440000003</v>
      </c>
      <c r="Y78" s="11">
        <f>X78/W78*100</f>
        <v>5.3357803589426664</v>
      </c>
    </row>
    <row r="79" spans="1:25" x14ac:dyDescent="0.25">
      <c r="A79" s="2" t="s">
        <v>70</v>
      </c>
      <c r="B79" s="41" t="s">
        <v>71</v>
      </c>
      <c r="C79" s="41"/>
      <c r="D79" s="41"/>
      <c r="E79" s="41"/>
      <c r="F79" s="17"/>
      <c r="G79" s="41" t="s">
        <v>72</v>
      </c>
      <c r="H79" s="41"/>
      <c r="I79" s="41"/>
      <c r="J79" s="41"/>
      <c r="K79" s="17"/>
      <c r="L79" s="42" t="s">
        <v>73</v>
      </c>
      <c r="M79" s="42"/>
      <c r="N79" s="42"/>
      <c r="O79" s="42"/>
      <c r="P79" s="17"/>
      <c r="Q79" s="41" t="s">
        <v>72</v>
      </c>
      <c r="R79" s="41"/>
      <c r="S79" s="41"/>
      <c r="T79" s="41"/>
      <c r="U79" s="23"/>
      <c r="V79" s="17"/>
      <c r="W79" s="17"/>
      <c r="X79" s="17"/>
      <c r="Y79" s="17"/>
    </row>
    <row r="80" spans="1:25" ht="15" customHeight="1" x14ac:dyDescent="0.25"/>
    <row r="81" spans="1:1" ht="15" customHeight="1" x14ac:dyDescent="0.25"/>
    <row r="82" spans="1:1" ht="15" customHeight="1" x14ac:dyDescent="0.25">
      <c r="A82" s="2" t="s">
        <v>75</v>
      </c>
    </row>
    <row r="83" spans="1:1" ht="15" customHeight="1" x14ac:dyDescent="0.25"/>
    <row r="84" spans="1:1" ht="15" customHeight="1" x14ac:dyDescent="0.25"/>
    <row r="85" spans="1:1" ht="15" customHeight="1" x14ac:dyDescent="0.25"/>
    <row r="86" spans="1:1" ht="15" customHeight="1" x14ac:dyDescent="0.25"/>
    <row r="87" spans="1:1" ht="15" customHeight="1" x14ac:dyDescent="0.25"/>
    <row r="88" spans="1:1" ht="15" customHeight="1" x14ac:dyDescent="0.25"/>
    <row r="89" spans="1:1" ht="15" customHeight="1" x14ac:dyDescent="0.25"/>
    <row r="90" spans="1:1" ht="15" customHeight="1" x14ac:dyDescent="0.25"/>
    <row r="91" spans="1:1" ht="15" customHeight="1" x14ac:dyDescent="0.25"/>
    <row r="92" spans="1:1" ht="15" customHeight="1" x14ac:dyDescent="0.25"/>
    <row r="93" spans="1:1" ht="15" customHeight="1" x14ac:dyDescent="0.25"/>
    <row r="94" spans="1:1" ht="15" customHeight="1" x14ac:dyDescent="0.25"/>
    <row r="95" spans="1:1" ht="15" customHeight="1" x14ac:dyDescent="0.25"/>
    <row r="96" spans="1:1" ht="15" customHeight="1" x14ac:dyDescent="0.25"/>
    <row r="97" spans="1:1" ht="15" customHeight="1" x14ac:dyDescent="0.25">
      <c r="A97" s="2">
        <v>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B79:E79"/>
    <mergeCell ref="G79:J79"/>
    <mergeCell ref="L79:O79"/>
    <mergeCell ref="Q79:T79"/>
    <mergeCell ref="D9:E9"/>
    <mergeCell ref="I9:J9"/>
    <mergeCell ref="N9:O9"/>
    <mergeCell ref="S9:T9"/>
    <mergeCell ref="X9:Y9"/>
    <mergeCell ref="V5:Y5"/>
    <mergeCell ref="B7:E7"/>
    <mergeCell ref="G7:J7"/>
    <mergeCell ref="L7:O7"/>
    <mergeCell ref="Q7:T7"/>
    <mergeCell ref="V7:Y7"/>
    <mergeCell ref="B5:E5"/>
    <mergeCell ref="G5:J5"/>
    <mergeCell ref="L5:O5"/>
    <mergeCell ref="Q5:T5"/>
  </mergeCells>
  <pageMargins left="0.77" right="0" top="0.5" bottom="0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REG9</vt:lpstr>
      <vt:lpstr>'REG9'!Print_Titles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2024-03-01T08:09:21Z</dcterms:created>
  <dcterms:modified xsi:type="dcterms:W3CDTF">2024-03-08T07:11:32Z</dcterms:modified>
</cp:coreProperties>
</file>